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amrlnet-my.sharepoint.com/personal/pholter_aashtoresource_org/Documents/Documents/AAP/Equipment Procedures and Forms/"/>
    </mc:Choice>
  </mc:AlternateContent>
  <xr:revisionPtr revIDLastSave="41" documentId="8_{3F09C0BB-B661-49F0-A733-0353E2184F1A}" xr6:coauthVersionLast="47" xr6:coauthVersionMax="47" xr10:uidLastSave="{C12472E2-7AB9-4353-B521-F2B99E7BEA7D}"/>
  <bookViews>
    <workbookView xWindow="-120" yWindow="-120" windowWidth="38640" windowHeight="21120" xr2:uid="{00000000-000D-0000-FFFF-FFFF00000000}"/>
  </bookViews>
  <sheets>
    <sheet name="Standardization Record" sheetId="1" r:id="rId1"/>
    <sheet name="Water Density Table" sheetId="2" r:id="rId2"/>
    <sheet name="Sheet3" sheetId="3" r:id="rId3"/>
  </sheets>
  <definedNames>
    <definedName name="_xlnm.Print_Area" localSheetId="0">'Standardization Record'!$A$1:$M$55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1" l="1"/>
  <c r="G18" i="1"/>
  <c r="G20" i="1" s="1"/>
  <c r="I31" i="1"/>
  <c r="J35" i="1"/>
  <c r="J43" i="1"/>
  <c r="J42" i="1"/>
  <c r="J41" i="1"/>
  <c r="J40" i="1"/>
  <c r="J39" i="1"/>
  <c r="J38" i="1"/>
  <c r="J37" i="1"/>
  <c r="J36" i="1"/>
  <c r="G16" i="1" l="1"/>
  <c r="I32" i="1"/>
  <c r="L24" i="1"/>
  <c r="E37" i="1"/>
  <c r="E38" i="1"/>
  <c r="E39" i="1"/>
  <c r="E40" i="1"/>
  <c r="E41" i="1"/>
  <c r="E42" i="1"/>
  <c r="E43" i="1"/>
  <c r="E44" i="1"/>
  <c r="E36" i="1"/>
  <c r="E35" i="1"/>
  <c r="H40" i="1" l="1"/>
  <c r="I40" i="1" s="1"/>
  <c r="H38" i="1"/>
  <c r="I38" i="1" s="1"/>
  <c r="H41" i="1"/>
  <c r="I41" i="1" s="1"/>
  <c r="H42" i="1"/>
  <c r="I42" i="1" s="1"/>
  <c r="H39" i="1"/>
  <c r="I39" i="1" s="1"/>
  <c r="H43" i="1"/>
  <c r="I43" i="1" s="1"/>
  <c r="H37" i="1"/>
  <c r="I37" i="1" s="1"/>
  <c r="H35" i="1"/>
  <c r="I35" i="1" s="1"/>
  <c r="H36" i="1"/>
  <c r="I36" i="1" s="1"/>
  <c r="F35" i="1"/>
  <c r="L16" i="1" l="1"/>
  <c r="L20" i="1" l="1"/>
  <c r="L25" i="1" l="1"/>
  <c r="G25" i="1"/>
  <c r="K43" i="1" l="1"/>
  <c r="K36" i="1"/>
  <c r="L36" i="1" s="1"/>
  <c r="K38" i="1"/>
  <c r="L38" i="1" s="1"/>
  <c r="K37" i="1"/>
  <c r="L37" i="1" s="1"/>
  <c r="K40" i="1"/>
  <c r="L40" i="1" s="1"/>
  <c r="K42" i="1"/>
  <c r="F43" i="1" s="1"/>
  <c r="K39" i="1"/>
  <c r="L39" i="1" s="1"/>
  <c r="K41" i="1"/>
  <c r="K35" i="1"/>
  <c r="L35" i="1" s="1"/>
  <c r="F41" i="1" l="1"/>
  <c r="F38" i="1"/>
  <c r="F36" i="1"/>
  <c r="F37" i="1"/>
  <c r="L42" i="1"/>
  <c r="F40" i="1"/>
  <c r="F39" i="1"/>
  <c r="L43" i="1"/>
  <c r="F44" i="1"/>
  <c r="L41" i="1"/>
  <c r="F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 Holter</author>
  </authors>
  <commentList>
    <comment ref="I17" authorId="0" shapeId="0" xr:uid="{00000000-0006-0000-0000-000001000000}">
      <text>
        <r>
          <rPr>
            <b/>
            <sz val="9"/>
            <color indexed="81"/>
            <rFont val="Tahoma"/>
            <family val="2"/>
          </rPr>
          <t>Pete Holter:</t>
        </r>
        <r>
          <rPr>
            <sz val="9"/>
            <color indexed="81"/>
            <rFont val="Tahoma"/>
            <family val="2"/>
          </rPr>
          <t xml:space="preserve">
Temperature should be 21.1C or 70F per Section 5.4 of C173-16</t>
        </r>
      </text>
    </comment>
    <comment ref="F30" authorId="0" shapeId="0" xr:uid="{00000000-0006-0000-0000-000002000000}">
      <text>
        <r>
          <rPr>
            <b/>
            <sz val="9"/>
            <color indexed="81"/>
            <rFont val="Tahoma"/>
            <family val="2"/>
          </rPr>
          <t>Pete Holter:</t>
        </r>
        <r>
          <rPr>
            <sz val="9"/>
            <color indexed="81"/>
            <rFont val="Tahoma"/>
            <family val="2"/>
          </rPr>
          <t xml:space="preserve">
For this part of the standardization, a pitcher of water should be preprared so that this water can be poured into a smaller vessel that will be used to add the water to the meter in the required increments.  The calibrated cup can be used as this smaller vessel if it has sufficient volume.  But if, for example, the calibrated cup has a volume of only 0.96 percent of the volume of the bowl, its volume is too small to be used for this part of the standardization and a separate vessel will be needed.  Determine the temperature of the water in the pitcher so that the calculated percentages being added can be based on the volume.  The mass of the water being added each time 
should be within +/- 0.2 grams of the target indicated in Cell I32.</t>
        </r>
      </text>
    </comment>
    <comment ref="D35" authorId="0" shapeId="0" xr:uid="{00000000-0006-0000-0000-000003000000}">
      <text>
        <r>
          <rPr>
            <b/>
            <sz val="9"/>
            <color indexed="81"/>
            <rFont val="Tahoma"/>
            <family val="2"/>
          </rPr>
          <t>Pete Holter:</t>
        </r>
        <r>
          <rPr>
            <sz val="9"/>
            <color indexed="81"/>
            <rFont val="Tahoma"/>
            <family val="2"/>
          </rPr>
          <t xml:space="preserve">
Entering a result here is confirmation that you have added water to bring the water level to within +/- 0.1 percent of 9.0 percent as your starting point.</t>
        </r>
      </text>
    </comment>
    <comment ref="F35" authorId="0" shapeId="0" xr:uid="{40316C24-B552-4993-9601-BB06BFFE4B57}">
      <text>
        <r>
          <rPr>
            <b/>
            <sz val="9"/>
            <color indexed="81"/>
            <rFont val="Tahoma"/>
            <family val="2"/>
          </rPr>
          <t>Pete Holter:</t>
        </r>
        <r>
          <rPr>
            <sz val="9"/>
            <color indexed="81"/>
            <rFont val="Tahoma"/>
            <family val="2"/>
          </rPr>
          <t xml:space="preserve">
Unlike the cells below, this cell simply compares the starting water level with the nominal graduation.</t>
        </r>
      </text>
    </comment>
    <comment ref="G35" authorId="0" shapeId="0" xr:uid="{C62A0600-E6AC-4929-A48C-8A6B874F10AE}">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D36" authorId="0" shapeId="0" xr:uid="{00000000-0006-0000-0000-000005000000}">
      <text>
        <r>
          <rPr>
            <b/>
            <sz val="9"/>
            <color indexed="81"/>
            <rFont val="Tahoma"/>
            <family val="2"/>
          </rPr>
          <t>Pete Holter:</t>
        </r>
        <r>
          <rPr>
            <sz val="9"/>
            <color indexed="81"/>
            <rFont val="Tahoma"/>
            <family val="2"/>
          </rPr>
          <t xml:space="preserve">
This is the estimated water level observed after adding the increment noted in the row above in cell G32.  And so on.</t>
        </r>
      </text>
    </comment>
    <comment ref="F36" authorId="0" shapeId="0" xr:uid="{341734DE-53E8-4504-9F15-443E2407B94B}">
      <text>
        <r>
          <rPr>
            <b/>
            <sz val="9"/>
            <color indexed="81"/>
            <rFont val="Tahoma"/>
            <family val="2"/>
          </rPr>
          <t>Pete Holter:</t>
        </r>
        <r>
          <rPr>
            <sz val="9"/>
            <color indexed="81"/>
            <rFont val="Tahoma"/>
            <family val="2"/>
          </rPr>
          <t xml:space="preserve">
This cell and those below it are comparing the Estimated Water Level in the current row with the Cumulaitve % Added from the previous row.</t>
        </r>
      </text>
    </comment>
    <comment ref="G36" authorId="0" shapeId="0" xr:uid="{D4D60213-C5CB-4648-8A93-10C502388ADD}">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D37" authorId="0" shapeId="0" xr:uid="{00000000-0006-0000-0000-000007000000}">
      <text>
        <r>
          <rPr>
            <b/>
            <sz val="9"/>
            <color indexed="81"/>
            <rFont val="Tahoma"/>
            <family val="2"/>
          </rPr>
          <t>Pete Holter:</t>
        </r>
        <r>
          <rPr>
            <sz val="9"/>
            <color indexed="81"/>
            <rFont val="Tahoma"/>
            <family val="2"/>
          </rPr>
          <t xml:space="preserve">
This is the estimated water level observed after adding the increment noted in the row above in cell G33.  And so on.</t>
        </r>
      </text>
    </comment>
    <comment ref="G37" authorId="0" shapeId="0" xr:uid="{FBCAA2AF-295F-4EFD-BB6E-F3F93E01BCC7}">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38" authorId="0" shapeId="0" xr:uid="{D57E3DB5-BF9B-4D6A-8688-DD77D3F6B71E}">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39" authorId="0" shapeId="0" xr:uid="{87B46AE3-377F-4ABA-BB07-FCD078F5217E}">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40" authorId="0" shapeId="0" xr:uid="{7E72FD00-513D-43D0-AD33-852807194ECC}">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41" authorId="0" shapeId="0" xr:uid="{FE6210CB-EAF5-4411-BBDD-869D2257567A}">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42" authorId="0" shapeId="0" xr:uid="{A613D38C-3630-4DA4-8599-5DFA59727853}">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 ref="G43" authorId="0" shapeId="0" xr:uid="{6A97BA9F-5202-4F51-B7FB-4B72E06DD733}">
      <text>
        <r>
          <rPr>
            <b/>
            <sz val="9"/>
            <color indexed="81"/>
            <rFont val="Tahoma"/>
            <family val="2"/>
          </rPr>
          <t>Pete Holter:</t>
        </r>
        <r>
          <rPr>
            <sz val="9"/>
            <color indexed="81"/>
            <rFont val="Tahoma"/>
            <family val="2"/>
          </rPr>
          <t xml:space="preserve">
This is the mass of water being added to go from 9.0 percent to 8.0 percent.  The observed reading after the addition of this increment is recorded in the next row in cell E33.  And so on.</t>
        </r>
      </text>
    </comment>
  </commentList>
</comments>
</file>

<file path=xl/sharedStrings.xml><?xml version="1.0" encoding="utf-8"?>
<sst xmlns="http://schemas.openxmlformats.org/spreadsheetml/2006/main" count="61" uniqueCount="53">
  <si>
    <t>TABLE 3 Density of Water</t>
  </si>
  <si>
    <t>Temperature</t>
  </si>
  <si>
    <t>C</t>
  </si>
  <si>
    <t>F</t>
  </si>
  <si>
    <t>kg/m3</t>
  </si>
  <si>
    <t>lb/ft3</t>
  </si>
  <si>
    <t xml:space="preserve">Procedure: </t>
  </si>
  <si>
    <t>C173 Air Meter Standardization</t>
  </si>
  <si>
    <t xml:space="preserve">Name of Technician: </t>
  </si>
  <si>
    <t xml:space="preserve">Date of Standardization: </t>
  </si>
  <si>
    <t xml:space="preserve">Air Meter ID: </t>
  </si>
  <si>
    <t xml:space="preserve">Calibrated Cup ID: </t>
  </si>
  <si>
    <t xml:space="preserve">Percent Volume of Calibrated Cup: </t>
  </si>
  <si>
    <t xml:space="preserve">Is the Calibrated Cup 0.96 - 1.04%? </t>
  </si>
  <si>
    <t>Check of Graduations in the Neck</t>
  </si>
  <si>
    <t>Calibrated Cup Conformance</t>
  </si>
  <si>
    <t xml:space="preserve">Volume of the Bowl (ft3): </t>
  </si>
  <si>
    <t xml:space="preserve">Volume of the Cup (ft3): </t>
  </si>
  <si>
    <t>John Piper</t>
  </si>
  <si>
    <t>AM-1</t>
  </si>
  <si>
    <t>CC-2</t>
  </si>
  <si>
    <t>O-48</t>
  </si>
  <si>
    <t>IHC-13</t>
  </si>
  <si>
    <t xml:space="preserve">Form Preparation/Revision Date: </t>
  </si>
  <si>
    <t>Bowl Volume Standardization</t>
  </si>
  <si>
    <t>Calibrated Cup Volume Standardization</t>
  </si>
  <si>
    <t xml:space="preserve">Density of Water in lb/ft3: </t>
  </si>
  <si>
    <t>TMP-2</t>
  </si>
  <si>
    <t xml:space="preserve">Mass of the Bowl and Plate (g): </t>
  </si>
  <si>
    <t xml:space="preserve">Mass of the Bowl, Plate, and Water  (g): </t>
  </si>
  <si>
    <t xml:space="preserve">Mass of the Calibrated Cup and Plate (g): </t>
  </si>
  <si>
    <t xml:space="preserve">Mass of the Calibrated Cup, Plate, and Water (g): </t>
  </si>
  <si>
    <t xml:space="preserve">Temperature of Water (C or F): </t>
  </si>
  <si>
    <t>Minimum Bowl Volume</t>
  </si>
  <si>
    <t>Estimated Water Level Reading</t>
  </si>
  <si>
    <t>Mass of Water Added for Checking the Next Graduation (g)</t>
  </si>
  <si>
    <t>----</t>
  </si>
  <si>
    <t>Mass of Water (g):</t>
  </si>
  <si>
    <t>Temperature of the Water Being Added:</t>
  </si>
  <si>
    <t>Density of the Water Being Added:</t>
  </si>
  <si>
    <t xml:space="preserve">Thermometer ID (readable to 0.1 C/F): </t>
  </si>
  <si>
    <t>Percent Added By Volume Based on the Mass</t>
  </si>
  <si>
    <t>Nominal Graduation</t>
  </si>
  <si>
    <t>Cumulative Mass Added</t>
  </si>
  <si>
    <t>Cumulative % Added</t>
  </si>
  <si>
    <t>Estimation Within 0.1% of Cumulative % Added?</t>
  </si>
  <si>
    <t>Estimation Within 0.1% of Graduation?</t>
  </si>
  <si>
    <t xml:space="preserve">Balance ID (readable to 0.1 g for bowl): </t>
  </si>
  <si>
    <t xml:space="preserve">Balance ID (readable to 0.01 g for cup and neck): </t>
  </si>
  <si>
    <t>The Mass of Water That Needs To Be Used for Exactly 1.0% Additions (g):</t>
  </si>
  <si>
    <t>Cumulative % Added Within 0.1 % of Next Graduation?</t>
  </si>
  <si>
    <t>Is the % Added 1.0 Percent of the Bowl?</t>
  </si>
  <si>
    <t>Is the volume of the bowl at least 0.075 ft3?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</si>
</sst>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
  </numFmts>
  <fonts count="7" x14ac:knownFonts="1">
    <font>
      <sz val="11"/>
      <color theme="1"/>
      <name val="Calibri"/>
      <family val="2"/>
      <scheme val="minor"/>
    </font>
    <font>
      <b/>
      <sz val="11"/>
      <color theme="1"/>
      <name val="Calibri"/>
      <family val="2"/>
      <scheme val="minor"/>
    </font>
    <font>
      <b/>
      <sz val="20"/>
      <color theme="1"/>
      <name val="Calibri"/>
      <family val="2"/>
      <scheme val="minor"/>
    </font>
    <font>
      <sz val="9"/>
      <color theme="1"/>
      <name val="Calibri"/>
      <family val="2"/>
      <scheme val="minor"/>
    </font>
    <font>
      <b/>
      <sz val="16"/>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4">
    <border>
      <left/>
      <right/>
      <top/>
      <bottom/>
      <diagonal/>
    </border>
    <border>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9">
    <xf numFmtId="0" fontId="0" fillId="0" borderId="0" xfId="0"/>
    <xf numFmtId="0" fontId="0" fillId="0" borderId="0" xfId="0"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vertical="center"/>
    </xf>
    <xf numFmtId="14" fontId="3" fillId="0" borderId="3" xfId="0" applyNumberFormat="1" applyFont="1" applyBorder="1" applyProtection="1">
      <protection locked="0"/>
    </xf>
    <xf numFmtId="0" fontId="1" fillId="0" borderId="0" xfId="0" applyFont="1" applyAlignment="1">
      <alignment horizontal="center"/>
    </xf>
    <xf numFmtId="0" fontId="0" fillId="0" borderId="0" xfId="0" applyAlignment="1">
      <alignment horizontal="right"/>
    </xf>
    <xf numFmtId="0" fontId="1" fillId="0" borderId="0" xfId="0" applyFont="1"/>
    <xf numFmtId="0" fontId="2" fillId="0" borderId="0" xfId="0" applyFont="1"/>
    <xf numFmtId="0" fontId="4" fillId="0" borderId="0" xfId="0" applyFont="1"/>
    <xf numFmtId="0" fontId="1" fillId="0" borderId="0" xfId="0" applyFont="1" applyAlignment="1">
      <alignment horizontal="left"/>
    </xf>
    <xf numFmtId="0" fontId="0" fillId="0" borderId="0" xfId="0" applyAlignment="1">
      <alignment horizontal="left"/>
    </xf>
    <xf numFmtId="166" fontId="0" fillId="0" borderId="0" xfId="0" applyNumberFormat="1"/>
    <xf numFmtId="0" fontId="0" fillId="0" borderId="6" xfId="0" quotePrefix="1" applyBorder="1" applyAlignment="1">
      <alignment horizontal="right"/>
    </xf>
    <xf numFmtId="0" fontId="0" fillId="0" borderId="3" xfId="0" quotePrefix="1" applyBorder="1" applyAlignment="1">
      <alignment horizontal="right"/>
    </xf>
    <xf numFmtId="164" fontId="0" fillId="0" borderId="0" xfId="0" applyNumberFormat="1"/>
    <xf numFmtId="0" fontId="3" fillId="0" borderId="0" xfId="0" applyFont="1" applyAlignment="1">
      <alignment horizontal="right"/>
    </xf>
    <xf numFmtId="0" fontId="0" fillId="0" borderId="10" xfId="0" applyBorder="1" applyAlignment="1">
      <alignment horizontal="left"/>
    </xf>
    <xf numFmtId="0" fontId="0" fillId="0" borderId="10" xfId="0" applyBorder="1"/>
    <xf numFmtId="0" fontId="0" fillId="0" borderId="11" xfId="0" applyBorder="1"/>
    <xf numFmtId="0" fontId="0" fillId="0" borderId="12" xfId="0" applyBorder="1" applyAlignment="1">
      <alignment horizontal="left"/>
    </xf>
    <xf numFmtId="0" fontId="0" fillId="0" borderId="3" xfId="0" applyBorder="1"/>
    <xf numFmtId="0" fontId="1" fillId="0" borderId="13" xfId="0" applyFont="1" applyBorder="1" applyAlignment="1">
      <alignment horizontal="right"/>
    </xf>
    <xf numFmtId="0" fontId="0" fillId="0" borderId="11" xfId="0" applyBorder="1" applyAlignment="1">
      <alignment horizontal="center"/>
    </xf>
    <xf numFmtId="0" fontId="1" fillId="0" borderId="11" xfId="0" applyFont="1" applyBorder="1" applyAlignment="1">
      <alignment horizontal="center"/>
    </xf>
    <xf numFmtId="0" fontId="0" fillId="0" borderId="10" xfId="0" applyBorder="1" applyAlignment="1">
      <alignment horizontal="right"/>
    </xf>
    <xf numFmtId="0" fontId="4" fillId="0" borderId="0" xfId="0" applyFont="1" applyAlignment="1">
      <alignment horizontal="center"/>
    </xf>
    <xf numFmtId="0" fontId="0" fillId="0" borderId="12" xfId="0" applyBorder="1"/>
    <xf numFmtId="0" fontId="0" fillId="0" borderId="0" xfId="0" quotePrefix="1"/>
    <xf numFmtId="0" fontId="0" fillId="0" borderId="11" xfId="0" quotePrefix="1" applyBorder="1"/>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0" xfId="0" applyFont="1" applyAlignment="1">
      <alignment horizontal="right"/>
    </xf>
    <xf numFmtId="2" fontId="0" fillId="0" borderId="6" xfId="0" quotePrefix="1"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0" fontId="4" fillId="0" borderId="10" xfId="0" applyFont="1" applyBorder="1" applyAlignment="1">
      <alignment horizontal="center"/>
    </xf>
    <xf numFmtId="0" fontId="4" fillId="0" borderId="11" xfId="0" applyFont="1" applyBorder="1" applyAlignment="1">
      <alignment horizontal="center"/>
    </xf>
    <xf numFmtId="14" fontId="0" fillId="0" borderId="0" xfId="0" applyNumberFormat="1" applyAlignment="1">
      <alignment horizontal="left"/>
    </xf>
    <xf numFmtId="164" fontId="1" fillId="0" borderId="4" xfId="0" applyNumberFormat="1" applyFont="1" applyBorder="1" applyAlignment="1">
      <alignment horizontal="right"/>
    </xf>
    <xf numFmtId="0" fontId="1" fillId="0" borderId="4" xfId="0" applyFont="1" applyBorder="1" applyAlignment="1">
      <alignment horizontal="right"/>
    </xf>
    <xf numFmtId="164" fontId="1" fillId="0" borderId="0" xfId="0" applyNumberFormat="1" applyFont="1" applyAlignment="1">
      <alignment horizontal="right"/>
    </xf>
    <xf numFmtId="164" fontId="1" fillId="0" borderId="3" xfId="0" applyNumberFormat="1" applyFont="1" applyBorder="1" applyAlignment="1">
      <alignment horizontal="right"/>
    </xf>
    <xf numFmtId="0" fontId="1" fillId="0" borderId="3" xfId="0" applyFont="1" applyBorder="1" applyAlignment="1">
      <alignment horizontal="right"/>
    </xf>
    <xf numFmtId="0" fontId="1" fillId="0" borderId="11" xfId="0" applyFont="1" applyBorder="1" applyAlignment="1">
      <alignment horizontal="right"/>
    </xf>
    <xf numFmtId="164" fontId="0" fillId="0" borderId="6" xfId="0" applyNumberFormat="1" applyBorder="1" applyAlignment="1" applyProtection="1">
      <alignment horizontal="right"/>
      <protection locked="0"/>
    </xf>
    <xf numFmtId="2" fontId="0" fillId="0" borderId="4" xfId="0" applyNumberFormat="1" applyBorder="1" applyAlignment="1">
      <alignment horizontal="right"/>
    </xf>
    <xf numFmtId="2" fontId="0" fillId="0" borderId="0" xfId="0" applyNumberFormat="1" applyAlignment="1">
      <alignment horizontal="right"/>
    </xf>
    <xf numFmtId="165" fontId="0" fillId="0" borderId="11" xfId="0" applyNumberFormat="1" applyBorder="1" applyAlignment="1">
      <alignment horizontal="right"/>
    </xf>
    <xf numFmtId="2" fontId="0" fillId="0" borderId="13" xfId="0" applyNumberFormat="1" applyBorder="1" applyAlignment="1" applyProtection="1">
      <alignment horizontal="right"/>
      <protection locked="0"/>
    </xf>
    <xf numFmtId="2" fontId="0" fillId="0" borderId="8"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6" fontId="0" fillId="0" borderId="11" xfId="0" applyNumberFormat="1" applyBorder="1" applyAlignment="1">
      <alignment horizontal="right"/>
    </xf>
    <xf numFmtId="0" fontId="0" fillId="0" borderId="11" xfId="0" applyBorder="1" applyAlignment="1">
      <alignment horizontal="right"/>
    </xf>
    <xf numFmtId="2" fontId="0" fillId="0" borderId="11" xfId="0" applyNumberFormat="1" applyBorder="1" applyAlignment="1">
      <alignment horizontal="right"/>
    </xf>
    <xf numFmtId="164" fontId="0" fillId="0" borderId="13" xfId="0" applyNumberFormat="1" applyBorder="1" applyAlignment="1" applyProtection="1">
      <alignment horizontal="right"/>
      <protection locked="0"/>
    </xf>
    <xf numFmtId="0" fontId="0" fillId="0" borderId="13" xfId="0" quotePrefix="1" applyBorder="1" applyAlignment="1">
      <alignment horizontal="right"/>
    </xf>
    <xf numFmtId="164" fontId="0" fillId="0" borderId="9" xfId="0" applyNumberFormat="1" applyBorder="1" applyAlignment="1">
      <alignment horizontal="right"/>
    </xf>
    <xf numFmtId="2" fontId="0" fillId="0" borderId="9" xfId="0" applyNumberFormat="1" applyBorder="1" applyAlignment="1">
      <alignment horizontal="right"/>
    </xf>
    <xf numFmtId="166" fontId="0" fillId="0" borderId="0" xfId="0" applyNumberFormat="1" applyAlignment="1">
      <alignment horizontal="right"/>
    </xf>
    <xf numFmtId="2" fontId="0" fillId="0" borderId="0" xfId="0" applyNumberFormat="1" applyAlignment="1">
      <alignment horizontal="center" vertical="center"/>
    </xf>
    <xf numFmtId="0" fontId="0" fillId="0" borderId="3" xfId="0" applyBorder="1" applyAlignment="1" applyProtection="1">
      <alignment horizontal="left"/>
      <protection locked="0"/>
    </xf>
    <xf numFmtId="0" fontId="2" fillId="0" borderId="0" xfId="0" applyFont="1" applyAlignment="1">
      <alignment horizontal="center"/>
    </xf>
    <xf numFmtId="14" fontId="0" fillId="0" borderId="3" xfId="0" applyNumberFormat="1" applyBorder="1" applyAlignment="1" applyProtection="1">
      <alignment horizontal="left"/>
      <protection locked="0"/>
    </xf>
    <xf numFmtId="0" fontId="1" fillId="0" borderId="7"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2" xfId="0" applyNumberFormat="1" applyBorder="1" applyAlignment="1">
      <alignment horizontal="center"/>
    </xf>
    <xf numFmtId="164" fontId="0" fillId="0" borderId="3" xfId="0" applyNumberFormat="1" applyBorder="1" applyAlignment="1">
      <alignment horizontal="center"/>
    </xf>
    <xf numFmtId="0" fontId="0" fillId="0" borderId="2" xfId="0" applyBorder="1" applyAlignment="1">
      <alignment horizontal="center"/>
    </xf>
  </cellXfs>
  <cellStyles count="1">
    <cellStyle name="Normal" xfId="0" builtinId="0"/>
  </cellStyles>
  <dxfs count="5">
    <dxf>
      <font>
        <b/>
        <i val="0"/>
        <color rgb="FFC00000"/>
      </font>
    </dxf>
    <dxf>
      <font>
        <b/>
        <i val="0"/>
        <color rgb="FFC00000"/>
      </font>
    </dxf>
    <dxf>
      <font>
        <b/>
        <i val="0"/>
        <color rgb="FFC00000"/>
      </font>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4"/>
  <sheetViews>
    <sheetView tabSelected="1" topLeftCell="B1" zoomScale="85" zoomScaleNormal="85" workbookViewId="0">
      <selection activeCell="G36" sqref="G36"/>
    </sheetView>
  </sheetViews>
  <sheetFormatPr defaultRowHeight="15" x14ac:dyDescent="0.25"/>
  <cols>
    <col min="2" max="2" width="8.7109375" customWidth="1"/>
    <col min="3" max="3" width="4" customWidth="1"/>
    <col min="4" max="4" width="13" customWidth="1"/>
    <col min="5" max="5" width="18.42578125" customWidth="1"/>
    <col min="6" max="6" width="21" customWidth="1"/>
    <col min="7" max="7" width="20" customWidth="1"/>
    <col min="8" max="8" width="24.140625" customWidth="1"/>
    <col min="9" max="9" width="23.7109375" customWidth="1"/>
    <col min="10" max="10" width="22.140625" customWidth="1"/>
    <col min="11" max="11" width="23" customWidth="1"/>
    <col min="12" max="12" width="24" customWidth="1"/>
    <col min="14" max="14" width="10.7109375" customWidth="1"/>
    <col min="15" max="15" width="12.5703125" customWidth="1"/>
  </cols>
  <sheetData>
    <row r="1" spans="2:16" ht="18.75" customHeight="1" x14ac:dyDescent="0.4">
      <c r="D1" s="11"/>
      <c r="E1" s="11"/>
      <c r="F1" s="11"/>
      <c r="G1" s="11"/>
      <c r="H1" s="11"/>
      <c r="I1" s="11"/>
      <c r="J1" s="11"/>
      <c r="K1" s="11"/>
      <c r="L1" s="11"/>
      <c r="M1" s="11"/>
      <c r="N1" s="11"/>
      <c r="O1" s="11"/>
      <c r="P1" s="11"/>
    </row>
    <row r="2" spans="2:16" ht="26.25" x14ac:dyDescent="0.4">
      <c r="B2" s="64" t="s">
        <v>7</v>
      </c>
      <c r="C2" s="64"/>
      <c r="D2" s="64"/>
      <c r="E2" s="64"/>
      <c r="F2" s="64"/>
      <c r="G2" s="64"/>
      <c r="H2" s="64"/>
      <c r="I2" s="64"/>
      <c r="J2" s="64"/>
      <c r="K2" s="64"/>
      <c r="L2" s="64"/>
      <c r="M2" s="11"/>
      <c r="N2" s="11"/>
      <c r="O2" s="11"/>
    </row>
    <row r="4" spans="2:16" x14ac:dyDescent="0.25">
      <c r="B4" s="13" t="s">
        <v>8</v>
      </c>
      <c r="F4" s="63" t="s">
        <v>18</v>
      </c>
      <c r="G4" s="63"/>
      <c r="I4" s="13" t="s">
        <v>10</v>
      </c>
      <c r="K4" s="63" t="s">
        <v>19</v>
      </c>
      <c r="L4" s="63"/>
    </row>
    <row r="5" spans="2:16" x14ac:dyDescent="0.25">
      <c r="B5" s="14"/>
      <c r="I5" s="13" t="s">
        <v>11</v>
      </c>
      <c r="K5" s="63" t="s">
        <v>20</v>
      </c>
      <c r="L5" s="63"/>
    </row>
    <row r="6" spans="2:16" x14ac:dyDescent="0.25">
      <c r="B6" s="13" t="s">
        <v>9</v>
      </c>
      <c r="F6" s="65">
        <v>41488</v>
      </c>
      <c r="G6" s="65"/>
      <c r="I6" s="14"/>
      <c r="L6" s="9"/>
    </row>
    <row r="7" spans="2:16" x14ac:dyDescent="0.25">
      <c r="B7" s="13"/>
      <c r="F7" s="40"/>
      <c r="G7" s="40"/>
      <c r="I7" s="13" t="s">
        <v>47</v>
      </c>
      <c r="K7" s="63">
        <v>1177847</v>
      </c>
      <c r="L7" s="63"/>
    </row>
    <row r="8" spans="2:16" x14ac:dyDescent="0.25">
      <c r="B8" s="14"/>
      <c r="I8" s="13" t="s">
        <v>48</v>
      </c>
      <c r="K8" s="63" t="s">
        <v>21</v>
      </c>
      <c r="L8" s="63"/>
    </row>
    <row r="9" spans="2:16" x14ac:dyDescent="0.25">
      <c r="B9" s="13" t="s">
        <v>6</v>
      </c>
      <c r="F9" s="63" t="s">
        <v>22</v>
      </c>
      <c r="G9" s="63"/>
      <c r="I9" s="13" t="s">
        <v>40</v>
      </c>
      <c r="K9" s="63" t="s">
        <v>27</v>
      </c>
      <c r="L9" s="63"/>
    </row>
    <row r="12" spans="2:16" ht="21" x14ac:dyDescent="0.35">
      <c r="B12" s="69" t="s">
        <v>24</v>
      </c>
      <c r="C12" s="70"/>
      <c r="D12" s="70"/>
      <c r="E12" s="70"/>
      <c r="F12" s="70"/>
      <c r="G12" s="71"/>
      <c r="H12" s="12"/>
      <c r="I12" s="69" t="s">
        <v>25</v>
      </c>
      <c r="J12" s="70"/>
      <c r="K12" s="70"/>
      <c r="L12" s="71"/>
      <c r="M12" s="12"/>
      <c r="N12" s="12"/>
      <c r="O12" s="12"/>
    </row>
    <row r="13" spans="2:16" x14ac:dyDescent="0.25">
      <c r="B13" s="21"/>
      <c r="G13" s="26"/>
      <c r="I13" s="21"/>
      <c r="J13" s="8"/>
      <c r="K13" s="8"/>
      <c r="L13" s="27"/>
      <c r="M13" s="8"/>
      <c r="O13" s="1"/>
    </row>
    <row r="14" spans="2:16" x14ac:dyDescent="0.25">
      <c r="B14" s="20" t="s">
        <v>28</v>
      </c>
      <c r="G14" s="57">
        <v>2617.1999999999998</v>
      </c>
      <c r="I14" s="20" t="s">
        <v>30</v>
      </c>
      <c r="L14" s="51">
        <v>278.05</v>
      </c>
    </row>
    <row r="15" spans="2:16" x14ac:dyDescent="0.25">
      <c r="B15" s="20" t="s">
        <v>29</v>
      </c>
      <c r="G15" s="53">
        <v>4735.5</v>
      </c>
      <c r="I15" s="20" t="s">
        <v>31</v>
      </c>
      <c r="L15" s="52">
        <v>299.91000000000003</v>
      </c>
    </row>
    <row r="16" spans="2:16" x14ac:dyDescent="0.25">
      <c r="B16" s="20" t="s">
        <v>37</v>
      </c>
      <c r="G16" s="59">
        <f>G15-G14</f>
        <v>2118.3000000000002</v>
      </c>
      <c r="I16" s="20" t="s">
        <v>37</v>
      </c>
      <c r="L16" s="60">
        <f>L15-L14</f>
        <v>21.860000000000014</v>
      </c>
    </row>
    <row r="17" spans="2:15" x14ac:dyDescent="0.25">
      <c r="B17" s="20" t="s">
        <v>32</v>
      </c>
      <c r="G17" s="57">
        <v>72</v>
      </c>
      <c r="I17" s="20" t="s">
        <v>32</v>
      </c>
      <c r="L17" s="57">
        <v>71.400000000000006</v>
      </c>
    </row>
    <row r="18" spans="2:15" x14ac:dyDescent="0.25">
      <c r="B18" s="20" t="s">
        <v>26</v>
      </c>
      <c r="G18" s="54">
        <f ca="1">IF(NOT(ISNUMBER(G17)),"Enter temperature",IF(AND(G17&gt;=15.6,G17&lt;29.4),FORECAST(G17,OFFSET('Water Density Table'!E6:E12,MATCH(G17,'Water Density Table'!B6:B12,1)-1,0,2),OFFSET('Water Density Table'!B6:B12,MATCH(G17,'Water Density Table'!B6:B12,1)-1,0,2)),IF(G17=29.4,'Water Density Table'!E12,IF(AND(G17&gt;=60,G17&lt;85),FORECAST(G17,OFFSET('Water Density Table'!E6:E12,MATCH(G17,'Water Density Table'!C6:C12,1)-1,0,2),OFFSET('Water Density Table'!C6:C12,MATCH(G17,'Water Density Table'!C6:C12,1)-1,0,2)),IF(G17=85,'Water Density Table'!E12,"Out of Range")))))</f>
        <v>62.285117647058826</v>
      </c>
      <c r="I18" s="20" t="s">
        <v>26</v>
      </c>
      <c r="L18" s="54">
        <f ca="1">IF(NOT(ISNUMBER(L17)),"Enter temperature",IF(AND(L17&gt;=15.6,L17&lt;29.4),FORECAST(L17,OFFSET('Water Density Table'!E6:E12,MATCH(L17,'Water Density Table'!B6:B12,1)-1,0,2),OFFSET('Water Density Table'!B6:B12,MATCH(L17,'Water Density Table'!B6:B12,1)-1,0,2)),IF(L17=29.4,'Water Density Table'!E12,IF(AND(L17&gt;=60,L17&lt;85),FORECAST(L17,OFFSET('Water Density Table'!E6:E12,MATCH(L17,'Water Density Table'!C6:C12,1)-1,0,2),OFFSET('Water Density Table'!C6:C12,MATCH(L17,'Water Density Table'!C6:C12,1)-1,0,2)),IF(L17=85,'Water Density Table'!E12,"Out of Range")))))</f>
        <v>62.289882352941177</v>
      </c>
    </row>
    <row r="19" spans="2:15" x14ac:dyDescent="0.25">
      <c r="B19" s="21"/>
      <c r="G19" s="55"/>
      <c r="I19" s="28"/>
      <c r="J19" s="15"/>
      <c r="L19" s="55"/>
    </row>
    <row r="20" spans="2:15" x14ac:dyDescent="0.25">
      <c r="B20" s="20" t="s">
        <v>16</v>
      </c>
      <c r="G20" s="54">
        <f ca="1">IF(OR(G14="",G15="",G17=""),"",IF(OR(G14&gt;100,G15&gt;100),ROUND(((G15/453.59-G14/453.59)/ROUND(G18,3)),3)))</f>
        <v>7.4999999999999997E-2</v>
      </c>
      <c r="I20" s="20" t="s">
        <v>17</v>
      </c>
      <c r="L20" s="50">
        <f ca="1">IF(OR(L14="",L15="",NOT(ISNUMBER(L18))),"Determine cup volume",IF(OR(L14&gt;3,L15&gt;3),ROUND(((L15/453.59-L14/453.59)/L18),5)))</f>
        <v>7.6999999999999996E-4</v>
      </c>
    </row>
    <row r="21" spans="2:15" x14ac:dyDescent="0.25">
      <c r="B21" s="21"/>
      <c r="G21" s="22"/>
      <c r="I21" s="21"/>
      <c r="L21" s="22"/>
    </row>
    <row r="22" spans="2:15" x14ac:dyDescent="0.25">
      <c r="B22" s="66" t="s">
        <v>33</v>
      </c>
      <c r="C22" s="67"/>
      <c r="D22" s="67"/>
      <c r="E22" s="67"/>
      <c r="F22" s="67"/>
      <c r="G22" s="68"/>
      <c r="H22" s="10"/>
      <c r="I22" s="66" t="s">
        <v>15</v>
      </c>
      <c r="J22" s="67"/>
      <c r="K22" s="67"/>
      <c r="L22" s="68"/>
      <c r="M22" s="10"/>
      <c r="N22" s="10"/>
      <c r="O22" s="10"/>
    </row>
    <row r="23" spans="2:15" x14ac:dyDescent="0.25">
      <c r="B23" s="21"/>
      <c r="G23" s="22"/>
      <c r="I23" s="21"/>
      <c r="L23" s="22"/>
    </row>
    <row r="24" spans="2:15" x14ac:dyDescent="0.25">
      <c r="B24" s="21"/>
      <c r="G24" s="22"/>
      <c r="I24" s="20" t="s">
        <v>12</v>
      </c>
      <c r="L24" s="56">
        <f ca="1">IF(OR(NOT(ISNUMBER(G20)),L14="",L15="",NOT(ISNUMBER(L18))),"",ROUND(((L15-L14)/L18)/((G15-G14)/G18)*100,2))</f>
        <v>1.03</v>
      </c>
    </row>
    <row r="25" spans="2:15" x14ac:dyDescent="0.25">
      <c r="B25" s="23" t="s">
        <v>52</v>
      </c>
      <c r="C25" s="24"/>
      <c r="D25" s="24"/>
      <c r="E25" s="24"/>
      <c r="F25" s="24"/>
      <c r="G25" s="25" t="str">
        <f ca="1">IF(ISNUMBER(G20),IF(G20&gt;=0.075,"Yes","No"),"Determine bowl volume")</f>
        <v>Yes</v>
      </c>
      <c r="I25" s="23" t="s">
        <v>13</v>
      </c>
      <c r="J25" s="24"/>
      <c r="K25" s="24"/>
      <c r="L25" s="25" t="str">
        <f ca="1">IF(OR(NOT(ISNUMBER(G20)),L14="",L15="",NOT(ISNUMBER(L18))),"",IF(AND(L24&gt;=0.96,L24&lt;=1.04),"Yes","No"))</f>
        <v>Yes</v>
      </c>
    </row>
    <row r="26" spans="2:15" x14ac:dyDescent="0.25">
      <c r="B26" s="14"/>
      <c r="G26" s="35"/>
      <c r="I26" s="14"/>
      <c r="L26" s="35"/>
    </row>
    <row r="28" spans="2:15" ht="21" x14ac:dyDescent="0.35">
      <c r="B28" s="69" t="s">
        <v>14</v>
      </c>
      <c r="C28" s="70"/>
      <c r="D28" s="70"/>
      <c r="E28" s="70"/>
      <c r="F28" s="70"/>
      <c r="G28" s="70"/>
      <c r="H28" s="70"/>
      <c r="I28" s="70"/>
      <c r="J28" s="70"/>
      <c r="K28" s="70"/>
      <c r="L28" s="71"/>
    </row>
    <row r="29" spans="2:15" ht="21" x14ac:dyDescent="0.35">
      <c r="B29" s="38"/>
      <c r="C29" s="29"/>
      <c r="D29" s="29"/>
      <c r="E29" s="29"/>
      <c r="F29" s="29"/>
      <c r="G29" s="29"/>
      <c r="H29" s="29"/>
      <c r="I29" s="29"/>
      <c r="J29" s="29"/>
      <c r="K29" s="29"/>
      <c r="L29" s="39"/>
    </row>
    <row r="30" spans="2:15" ht="15" customHeight="1" x14ac:dyDescent="0.35">
      <c r="B30" s="21"/>
      <c r="D30" s="29"/>
      <c r="E30" s="29"/>
      <c r="F30" s="13" t="s">
        <v>38</v>
      </c>
      <c r="G30" s="29"/>
      <c r="I30" s="37">
        <v>72.3</v>
      </c>
      <c r="J30" s="29"/>
      <c r="L30" s="22"/>
    </row>
    <row r="31" spans="2:15" ht="15" customHeight="1" x14ac:dyDescent="0.35">
      <c r="B31" s="21"/>
      <c r="D31" s="29"/>
      <c r="E31" s="29"/>
      <c r="F31" s="13" t="s">
        <v>39</v>
      </c>
      <c r="G31" s="29"/>
      <c r="I31" s="61">
        <f ca="1">IF(NOT(ISNUMBER(I30)),"Enter temperature",IF(AND(I30&gt;=15.6,I30&lt;29.4),ROUND(FORECAST(I30,OFFSET('Water Density Table'!E6:E12,MATCH(I30,'Water Density Table'!B6:B12,1)-1,0,2),OFFSET('Water Density Table'!B6:B12,MATCH(I30,'Water Density Table'!B6:B12,1)-1,0,2)),3),IF(I30=29.4,'Water Density Table'!E12,IF(AND(I30&gt;=60,I30&lt;85),ROUND(FORECAST(I30,OFFSET('Water Density Table'!E6:E12,MATCH(I30,'Water Density Table'!C6:C12,1)-1,0,2),OFFSET('Water Density Table'!C6:C12,MATCH(I30,'Water Density Table'!C6:C12,1)-1,0,2)),3),IF(I30=85,'Water Density Table'!E12,"Temp Out of Range")))))</f>
        <v>62.283000000000001</v>
      </c>
      <c r="J31" s="62"/>
      <c r="K31" s="31"/>
      <c r="L31" s="32"/>
    </row>
    <row r="32" spans="2:15" ht="15" customHeight="1" x14ac:dyDescent="0.25">
      <c r="B32" s="21"/>
      <c r="D32" s="8"/>
      <c r="E32" s="8"/>
      <c r="F32" s="13" t="s">
        <v>49</v>
      </c>
      <c r="G32" s="8"/>
      <c r="I32" s="49">
        <f ca="1">IF(NOT(ISNUMBER(G20)),"Determine bowl volume",IF(ISNUMBER(I31),ROUND((($G$15/453.59-$G$14/453.59)/$G$18)/100*$I$31*453.59,2),IF(I31="Temp Out of Range","Temp Out of Range","Enter temperature")))</f>
        <v>21.18</v>
      </c>
      <c r="J32" s="10"/>
      <c r="L32" s="22"/>
    </row>
    <row r="33" spans="2:12" x14ac:dyDescent="0.25">
      <c r="B33" s="30"/>
      <c r="C33" s="24"/>
      <c r="L33" s="22"/>
    </row>
    <row r="34" spans="2:12" ht="30" customHeight="1" x14ac:dyDescent="0.25">
      <c r="B34" s="72" t="s">
        <v>42</v>
      </c>
      <c r="C34" s="73"/>
      <c r="D34" s="33" t="s">
        <v>34</v>
      </c>
      <c r="E34" s="33" t="s">
        <v>46</v>
      </c>
      <c r="F34" s="33" t="s">
        <v>45</v>
      </c>
      <c r="G34" s="33" t="s">
        <v>35</v>
      </c>
      <c r="H34" s="33" t="s">
        <v>41</v>
      </c>
      <c r="I34" s="33" t="s">
        <v>51</v>
      </c>
      <c r="J34" s="33" t="s">
        <v>43</v>
      </c>
      <c r="K34" s="33" t="s">
        <v>44</v>
      </c>
      <c r="L34" s="34" t="s">
        <v>50</v>
      </c>
    </row>
    <row r="35" spans="2:12" x14ac:dyDescent="0.25">
      <c r="B35" s="74">
        <v>9</v>
      </c>
      <c r="C35" s="75"/>
      <c r="D35" s="47">
        <v>9</v>
      </c>
      <c r="E35" s="41" t="str">
        <f>IF(D35&lt;&gt;"",IF(ROUND(ABS(D35-B35),1)&lt;=0.1,"Yes","No"),"Enter your reading")</f>
        <v>Yes</v>
      </c>
      <c r="F35" s="42" t="str">
        <f>IF(D35&lt;&gt;"",IF(ROUND(ABS(D35-B35),1)&lt;=0.1,"Yes","No"),"Enter your reading")</f>
        <v>Yes</v>
      </c>
      <c r="G35" s="36">
        <v>21.86</v>
      </c>
      <c r="H35" s="49">
        <f ca="1">IF(NOT(ISNUMBER($I$32)),$I$32,IF(G35&lt;&gt;"",ROUND(G35/453.59/$I$31/(($G$15/453.59-$G$14/453.59)/$G$18)*100,2),"Enter mass added"))</f>
        <v>1.03</v>
      </c>
      <c r="I35" s="35" t="str">
        <f t="shared" ref="I35:I38" ca="1" si="0">IF(NOT(ISNUMBER(H35)),H35,IF(ISNUMBER(H35),IF(AND(H35&gt;=0.95, H35&lt;=1.04),"Yes","No"),"Enter mass added"))</f>
        <v>Yes</v>
      </c>
      <c r="J35" s="48">
        <f>IF(ISNUMBER(G35),SUM($G$35:G35),"Enter mass added")</f>
        <v>21.86</v>
      </c>
      <c r="K35" s="49">
        <f t="shared" ref="K35:K42" ca="1" si="1">IF(NOT(ISNUMBER($I$32)),$I$32,IF(ISNUMBER(J35),ROUND(J35/453.59/$I$31/(($G$15/453.59-$G$14/453.59)/$G$18)*100,2),"Enter all masses"))</f>
        <v>1.03</v>
      </c>
      <c r="L35" s="46" t="str">
        <f ca="1">IF(NOT(ISNUMBER($I$32)),$I$32,IF(ISNUMBER(K35),IF(ABS(K35-($B$35-B36))&gt;0.1,"No","Yes"),"Enter mass added"))</f>
        <v>Yes</v>
      </c>
    </row>
    <row r="36" spans="2:12" x14ac:dyDescent="0.25">
      <c r="B36" s="74">
        <v>8</v>
      </c>
      <c r="C36" s="75"/>
      <c r="D36" s="47">
        <v>8</v>
      </c>
      <c r="E36" s="43" t="str">
        <f>IF(D36&lt;&gt;"",IF(ROUND(ABS(D36-B36),1)&lt;=0.1,"Yes","No"),"Enter your reading")</f>
        <v>Yes</v>
      </c>
      <c r="F36" s="35" t="str">
        <f t="shared" ref="F36:F38" ca="1" si="2">IF(AND(ISNUMBER($D$35),ISNUMBER(D36),ISNUMBER(K35)),IF(ROUND(ABS(D36-($D$35-K35)),1)&lt;=0.1,"Yes","No"),"Enter all data")</f>
        <v>Yes</v>
      </c>
      <c r="G36" s="36">
        <v>21.01</v>
      </c>
      <c r="H36" s="49">
        <f ca="1">IF(NOT(ISNUMBER($I$32)),$I$32,IF(G36&lt;&gt;"",ROUND(G36/453.59/$I$31/(($G$15/453.59-$G$14/453.59)/$G$18)*100,2),"Enter mass added"))</f>
        <v>0.99</v>
      </c>
      <c r="I36" s="35" t="str">
        <f t="shared" ca="1" si="0"/>
        <v>Yes</v>
      </c>
      <c r="J36" s="49">
        <f>IF(AND(ISNUMBER(G35),ISNUMBER(G36)),SUM($G$35:G36), "Enter all masses")</f>
        <v>42.870000000000005</v>
      </c>
      <c r="K36" s="49">
        <f t="shared" ca="1" si="1"/>
        <v>2.02</v>
      </c>
      <c r="L36" s="46" t="str">
        <f t="shared" ref="L36:L37" ca="1" si="3">IF(NOT(ISNUMBER($I$32)),$I$32,IF(ISNUMBER(K36),IF(ABS(K36-($B$35-B37))&gt;0.1,"No","Yes"),"Enter all masses"))</f>
        <v>Yes</v>
      </c>
    </row>
    <row r="37" spans="2:12" x14ac:dyDescent="0.25">
      <c r="B37" s="74">
        <v>7</v>
      </c>
      <c r="C37" s="75"/>
      <c r="D37" s="47">
        <v>7</v>
      </c>
      <c r="E37" s="43" t="str">
        <f t="shared" ref="E37:E44" si="4">IF(D37&lt;&gt;"",IF(ROUND(ABS(D37-B37),1)&lt;=0.1,"Yes","No"),"Enter your reading")</f>
        <v>Yes</v>
      </c>
      <c r="F37" s="35" t="str">
        <f t="shared" ca="1" si="2"/>
        <v>Yes</v>
      </c>
      <c r="G37" s="36">
        <v>21.54</v>
      </c>
      <c r="H37" s="49">
        <f t="shared" ref="H37:H43" ca="1" si="5">IF(NOT(ISNUMBER($I$32)),$I$32,IF(G37&lt;&gt;"",ROUND(G37/453.59/$I$31/(($G$15/453.59-$G$14/453.59)/$G$18)*100,2),"Enter mass added"))</f>
        <v>1.02</v>
      </c>
      <c r="I37" s="35" t="str">
        <f t="shared" ca="1" si="0"/>
        <v>Yes</v>
      </c>
      <c r="J37" s="49">
        <f>IF(AND(ISNUMBER(G35),ISNUMBER(G36),ISNUMBER(G37)),SUM($G$35:G37), "Enter all masses")</f>
        <v>64.41</v>
      </c>
      <c r="K37" s="49">
        <f t="shared" ca="1" si="1"/>
        <v>3.04</v>
      </c>
      <c r="L37" s="46" t="str">
        <f t="shared" ca="1" si="3"/>
        <v>Yes</v>
      </c>
    </row>
    <row r="38" spans="2:12" x14ac:dyDescent="0.25">
      <c r="B38" s="74">
        <v>6</v>
      </c>
      <c r="C38" s="75"/>
      <c r="D38" s="47">
        <v>6</v>
      </c>
      <c r="E38" s="43" t="str">
        <f t="shared" si="4"/>
        <v>Yes</v>
      </c>
      <c r="F38" s="35" t="str">
        <f t="shared" ca="1" si="2"/>
        <v>Yes</v>
      </c>
      <c r="G38" s="36">
        <v>20.98</v>
      </c>
      <c r="H38" s="49">
        <f t="shared" ca="1" si="5"/>
        <v>0.99</v>
      </c>
      <c r="I38" s="35" t="str">
        <f t="shared" ca="1" si="0"/>
        <v>Yes</v>
      </c>
      <c r="J38" s="49">
        <f>IF(AND(ISNUMBER(G35),ISNUMBER(G36),ISNUMBER(G37),ISNUMBER(G38)),SUM($G$35:G38), "Enter all masses")</f>
        <v>85.39</v>
      </c>
      <c r="K38" s="49">
        <f t="shared" ca="1" si="1"/>
        <v>4.03</v>
      </c>
      <c r="L38" s="46" t="str">
        <f ca="1">IF(NOT(ISNUMBER($I$32)),$I$32,IF(ISNUMBER(K38),IF(ABS(K38-($B$35-B39))&gt;0.1,"No","Yes"),"Enter all masses"))</f>
        <v>Yes</v>
      </c>
    </row>
    <row r="39" spans="2:12" x14ac:dyDescent="0.25">
      <c r="B39" s="74">
        <v>5</v>
      </c>
      <c r="C39" s="75"/>
      <c r="D39" s="47">
        <v>5</v>
      </c>
      <c r="E39" s="43" t="str">
        <f t="shared" si="4"/>
        <v>Yes</v>
      </c>
      <c r="F39" s="35" t="str">
        <f t="shared" ref="F39:F44" ca="1" si="6">IF(AND(ISNUMBER($D$35),ISNUMBER(D39),ISNUMBER(K38)),IF(ROUND(ABS(D39-($D$35-K38)),1)&lt;=0.1,"Yes","No"),"Enter all data")</f>
        <v>Yes</v>
      </c>
      <c r="G39" s="36">
        <v>20.77</v>
      </c>
      <c r="H39" s="49">
        <f t="shared" ca="1" si="5"/>
        <v>0.98</v>
      </c>
      <c r="I39" s="35" t="str">
        <f ca="1">IF(NOT(ISNUMBER(H39)),H39,IF(ISNUMBER(H39),IF(AND(H39&gt;=0.95, H39&lt;=1.04),"Yes","No"),"Enter mass added"))</f>
        <v>Yes</v>
      </c>
      <c r="J39" s="49">
        <f>IF(AND(ISNUMBER(G35),ISNUMBER(G36),ISNUMBER(G37),ISNUMBER(G38),ISNUMBER(G39)),SUM($G$35:G39), "Enter all masses")</f>
        <v>106.16</v>
      </c>
      <c r="K39" s="49">
        <f t="shared" ca="1" si="1"/>
        <v>5.01</v>
      </c>
      <c r="L39" s="46" t="str">
        <f t="shared" ref="L39:L43" ca="1" si="7">IF(NOT(ISNUMBER($I$32)),$I$32,IF(ISNUMBER(K39),IF(ABS(K39-($B$35-B40))&gt;0.1,"No","Yes"),"Enter all masses"))</f>
        <v>Yes</v>
      </c>
    </row>
    <row r="40" spans="2:12" x14ac:dyDescent="0.25">
      <c r="B40" s="74">
        <v>4</v>
      </c>
      <c r="C40" s="75"/>
      <c r="D40" s="47">
        <v>4</v>
      </c>
      <c r="E40" s="43" t="str">
        <f t="shared" si="4"/>
        <v>Yes</v>
      </c>
      <c r="F40" s="35" t="str">
        <f t="shared" ca="1" si="6"/>
        <v>Yes</v>
      </c>
      <c r="G40" s="36">
        <v>21.81</v>
      </c>
      <c r="H40" s="49">
        <f t="shared" ca="1" si="5"/>
        <v>1.03</v>
      </c>
      <c r="I40" s="35" t="str">
        <f t="shared" ref="I40:I43" ca="1" si="8">IF(NOT(ISNUMBER(H40)),H40,IF(ISNUMBER(H40),IF(AND(H40&gt;=0.95, H40&lt;=1.04),"Yes","No"),"Enter mass added"))</f>
        <v>Yes</v>
      </c>
      <c r="J40" s="49">
        <f>IF(AND(ISNUMBER(G35),ISNUMBER(G36),ISNUMBER(G37),ISNUMBER(G38),ISNUMBER(G39),ISNUMBER(G40)),SUM($G$35:G40), "Enter all masses")</f>
        <v>127.97</v>
      </c>
      <c r="K40" s="49">
        <f t="shared" ca="1" si="1"/>
        <v>6.04</v>
      </c>
      <c r="L40" s="46" t="str">
        <f t="shared" ca="1" si="7"/>
        <v>Yes</v>
      </c>
    </row>
    <row r="41" spans="2:12" x14ac:dyDescent="0.25">
      <c r="B41" s="74">
        <v>3</v>
      </c>
      <c r="C41" s="75"/>
      <c r="D41" s="47">
        <v>3</v>
      </c>
      <c r="E41" s="43" t="str">
        <f t="shared" si="4"/>
        <v>Yes</v>
      </c>
      <c r="F41" s="35" t="str">
        <f t="shared" ca="1" si="6"/>
        <v>Yes</v>
      </c>
      <c r="G41" s="36">
        <v>20.97</v>
      </c>
      <c r="H41" s="49">
        <f t="shared" ca="1" si="5"/>
        <v>0.99</v>
      </c>
      <c r="I41" s="35" t="str">
        <f t="shared" ca="1" si="8"/>
        <v>Yes</v>
      </c>
      <c r="J41" s="49">
        <f>IF(AND(ISNUMBER(G35),ISNUMBER(G36),ISNUMBER(G37),ISNUMBER(G38),ISNUMBER(G39),ISNUMBER(G40),ISNUMBER(G41)),SUM($G$35:G41), "Enter all masses")</f>
        <v>148.94</v>
      </c>
      <c r="K41" s="49">
        <f t="shared" ca="1" si="1"/>
        <v>7.03</v>
      </c>
      <c r="L41" s="46" t="str">
        <f t="shared" ca="1" si="7"/>
        <v>Yes</v>
      </c>
    </row>
    <row r="42" spans="2:12" x14ac:dyDescent="0.25">
      <c r="B42" s="74">
        <v>2</v>
      </c>
      <c r="C42" s="75"/>
      <c r="D42" s="47">
        <v>2</v>
      </c>
      <c r="E42" s="43" t="str">
        <f t="shared" si="4"/>
        <v>Yes</v>
      </c>
      <c r="F42" s="35" t="str">
        <f t="shared" ca="1" si="6"/>
        <v>Yes</v>
      </c>
      <c r="G42" s="36">
        <v>21.78</v>
      </c>
      <c r="H42" s="49">
        <f t="shared" ca="1" si="5"/>
        <v>1.03</v>
      </c>
      <c r="I42" s="35" t="str">
        <f t="shared" ca="1" si="8"/>
        <v>Yes</v>
      </c>
      <c r="J42" s="49">
        <f>IF(AND(ISNUMBER(G35),ISNUMBER(G36),ISNUMBER(G37),ISNUMBER(G38),ISNUMBER(G39),ISNUMBER(G40),ISNUMBER(G41),ISNUMBER(G42)),SUM($G$35:G42), "Enter all masses")</f>
        <v>170.72</v>
      </c>
      <c r="K42" s="49">
        <f t="shared" ca="1" si="1"/>
        <v>8.06</v>
      </c>
      <c r="L42" s="46" t="str">
        <f t="shared" ca="1" si="7"/>
        <v>Yes</v>
      </c>
    </row>
    <row r="43" spans="2:12" x14ac:dyDescent="0.25">
      <c r="B43" s="74">
        <v>1</v>
      </c>
      <c r="C43" s="75"/>
      <c r="D43" s="47">
        <v>1</v>
      </c>
      <c r="E43" s="43" t="str">
        <f t="shared" si="4"/>
        <v>Yes</v>
      </c>
      <c r="F43" s="35" t="str">
        <f t="shared" ca="1" si="6"/>
        <v>Yes</v>
      </c>
      <c r="G43" s="36">
        <v>21.82</v>
      </c>
      <c r="H43" s="49">
        <f t="shared" ca="1" si="5"/>
        <v>1.03</v>
      </c>
      <c r="I43" s="35" t="str">
        <f t="shared" ca="1" si="8"/>
        <v>Yes</v>
      </c>
      <c r="J43" s="49">
        <f>IF(AND(ISNUMBER(G35),ISNUMBER(G36),ISNUMBER(G37),ISNUMBER(G38),ISNUMBER(G39),ISNUMBER(G40),ISNUMBER(G41),ISNUMBER(G42),ISNUMBER(G43)),SUM($G$35:G43), "Enter all masses")</f>
        <v>192.54</v>
      </c>
      <c r="K43" s="49">
        <f ca="1">IF(NOT(ISNUMBER($I$32)),$I$32,IF(ISNUMBER(J43),ROUND(J43/453.59/$I$31/(($G$15/453.59-$G$14/453.59)/$G$18)*100,2),"Enter all masses"))</f>
        <v>9.09</v>
      </c>
      <c r="L43" s="46" t="str">
        <f t="shared" ca="1" si="7"/>
        <v>Yes</v>
      </c>
    </row>
    <row r="44" spans="2:12" x14ac:dyDescent="0.25">
      <c r="B44" s="76">
        <v>0</v>
      </c>
      <c r="C44" s="77"/>
      <c r="D44" s="47">
        <v>0</v>
      </c>
      <c r="E44" s="44" t="str">
        <f t="shared" si="4"/>
        <v>Yes</v>
      </c>
      <c r="F44" s="45" t="str">
        <f t="shared" ca="1" si="6"/>
        <v>Yes</v>
      </c>
      <c r="G44" s="16" t="s">
        <v>36</v>
      </c>
      <c r="H44" s="17" t="s">
        <v>36</v>
      </c>
      <c r="I44" s="17" t="s">
        <v>36</v>
      </c>
      <c r="J44" s="17" t="s">
        <v>36</v>
      </c>
      <c r="K44" s="17" t="s">
        <v>36</v>
      </c>
      <c r="L44" s="58" t="s">
        <v>36</v>
      </c>
    </row>
    <row r="46" spans="2:12" x14ac:dyDescent="0.25">
      <c r="F46" s="10"/>
    </row>
    <row r="47" spans="2:12" x14ac:dyDescent="0.25">
      <c r="F47" s="10"/>
      <c r="G47" s="10"/>
      <c r="I47" s="18"/>
    </row>
    <row r="48" spans="2:12" x14ac:dyDescent="0.25">
      <c r="F48" s="10"/>
      <c r="I48" s="35"/>
    </row>
    <row r="50" spans="7:12" x14ac:dyDescent="0.25">
      <c r="G50" s="9"/>
    </row>
    <row r="51" spans="7:12" x14ac:dyDescent="0.25">
      <c r="G51" s="9"/>
    </row>
    <row r="53" spans="7:12" x14ac:dyDescent="0.25">
      <c r="G53" s="9"/>
      <c r="K53" s="19" t="s">
        <v>23</v>
      </c>
      <c r="L53" s="7">
        <v>45393</v>
      </c>
    </row>
    <row r="54" spans="7:12" x14ac:dyDescent="0.25">
      <c r="G54" s="9"/>
    </row>
  </sheetData>
  <sheetProtection sheet="1" selectLockedCells="1"/>
  <mergeCells count="25">
    <mergeCell ref="B44:C44"/>
    <mergeCell ref="B39:C39"/>
    <mergeCell ref="B40:C40"/>
    <mergeCell ref="B41:C41"/>
    <mergeCell ref="B42:C42"/>
    <mergeCell ref="B43:C43"/>
    <mergeCell ref="B34:C34"/>
    <mergeCell ref="B35:C35"/>
    <mergeCell ref="B36:C36"/>
    <mergeCell ref="B37:C37"/>
    <mergeCell ref="B38:C38"/>
    <mergeCell ref="B22:G22"/>
    <mergeCell ref="B12:G12"/>
    <mergeCell ref="I12:L12"/>
    <mergeCell ref="I22:L22"/>
    <mergeCell ref="B28:L28"/>
    <mergeCell ref="K9:L9"/>
    <mergeCell ref="B2:L2"/>
    <mergeCell ref="F4:G4"/>
    <mergeCell ref="F6:G6"/>
    <mergeCell ref="F9:G9"/>
    <mergeCell ref="K4:L4"/>
    <mergeCell ref="K5:L5"/>
    <mergeCell ref="K8:L8"/>
    <mergeCell ref="K7:L7"/>
  </mergeCells>
  <conditionalFormatting sqref="E35:F44">
    <cfRule type="cellIs" dxfId="4" priority="3" operator="equal">
      <formula>"No"</formula>
    </cfRule>
  </conditionalFormatting>
  <conditionalFormatting sqref="G25">
    <cfRule type="cellIs" dxfId="3" priority="5" operator="equal">
      <formula>"No"</formula>
    </cfRule>
  </conditionalFormatting>
  <conditionalFormatting sqref="I35:I43">
    <cfRule type="cellIs" dxfId="2" priority="1" operator="equal">
      <formula>"No"</formula>
    </cfRule>
  </conditionalFormatting>
  <conditionalFormatting sqref="L25">
    <cfRule type="cellIs" dxfId="1" priority="4" operator="equal">
      <formula>"No"</formula>
    </cfRule>
  </conditionalFormatting>
  <conditionalFormatting sqref="L35:L43">
    <cfRule type="cellIs" dxfId="0" priority="2" operator="equal">
      <formula>"No"</formula>
    </cfRule>
  </conditionalFormatting>
  <pageMargins left="0.7" right="0.7" top="0.75" bottom="0.75" header="0.3" footer="0.3"/>
  <pageSetup scale="41" orientation="portrait" r:id="rId1"/>
  <colBreaks count="1" manualBreakCount="1">
    <brk id="13" max="5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2"/>
  <sheetViews>
    <sheetView workbookViewId="0">
      <selection activeCell="C9" sqref="C9"/>
    </sheetView>
  </sheetViews>
  <sheetFormatPr defaultRowHeight="15" x14ac:dyDescent="0.25"/>
  <sheetData>
    <row r="2" spans="2:5" x14ac:dyDescent="0.25">
      <c r="C2" t="s">
        <v>0</v>
      </c>
    </row>
    <row r="3" spans="2:5" ht="15.75" thickBot="1" x14ac:dyDescent="0.3"/>
    <row r="4" spans="2:5" x14ac:dyDescent="0.25">
      <c r="B4" s="78" t="s">
        <v>1</v>
      </c>
      <c r="C4" s="78"/>
      <c r="D4" s="5" t="s">
        <v>4</v>
      </c>
      <c r="E4" s="5" t="s">
        <v>5</v>
      </c>
    </row>
    <row r="5" spans="2:5" x14ac:dyDescent="0.25">
      <c r="B5" s="2" t="s">
        <v>2</v>
      </c>
      <c r="C5" s="2" t="s">
        <v>3</v>
      </c>
      <c r="D5" s="6"/>
      <c r="E5" s="6"/>
    </row>
    <row r="6" spans="2:5" x14ac:dyDescent="0.25">
      <c r="B6" s="3">
        <v>15.6</v>
      </c>
      <c r="C6" s="3">
        <v>60</v>
      </c>
      <c r="D6" s="3">
        <v>999.01</v>
      </c>
      <c r="E6" s="3">
        <v>62.366</v>
      </c>
    </row>
    <row r="7" spans="2:5" x14ac:dyDescent="0.25">
      <c r="B7" s="1">
        <v>18.3</v>
      </c>
      <c r="C7" s="1">
        <v>65</v>
      </c>
      <c r="D7" s="1">
        <v>998.54</v>
      </c>
      <c r="E7" s="1">
        <v>62.335999999999999</v>
      </c>
    </row>
    <row r="8" spans="2:5" x14ac:dyDescent="0.25">
      <c r="B8" s="1">
        <v>21.1</v>
      </c>
      <c r="C8" s="1">
        <v>70</v>
      </c>
      <c r="D8" s="1">
        <v>997.97</v>
      </c>
      <c r="E8" s="1">
        <v>62.301000000000002</v>
      </c>
    </row>
    <row r="9" spans="2:5" x14ac:dyDescent="0.25">
      <c r="B9" s="1">
        <v>23</v>
      </c>
      <c r="C9" s="1">
        <v>73.400000000000006</v>
      </c>
      <c r="D9" s="1">
        <v>997.54</v>
      </c>
      <c r="E9" s="1">
        <v>62.274000000000001</v>
      </c>
    </row>
    <row r="10" spans="2:5" x14ac:dyDescent="0.25">
      <c r="B10" s="1">
        <v>23.9</v>
      </c>
      <c r="C10" s="1">
        <v>75</v>
      </c>
      <c r="D10" s="1">
        <v>997.32</v>
      </c>
      <c r="E10" s="1">
        <v>62.261000000000003</v>
      </c>
    </row>
    <row r="11" spans="2:5" x14ac:dyDescent="0.25">
      <c r="B11" s="1">
        <v>26.7</v>
      </c>
      <c r="C11" s="1">
        <v>80</v>
      </c>
      <c r="D11" s="1">
        <v>996.59</v>
      </c>
      <c r="E11" s="1">
        <v>62.216000000000001</v>
      </c>
    </row>
    <row r="12" spans="2:5" ht="15.75" thickBot="1" x14ac:dyDescent="0.3">
      <c r="B12" s="4">
        <v>29.4</v>
      </c>
      <c r="C12" s="4">
        <v>85</v>
      </c>
      <c r="D12" s="4">
        <v>995.83</v>
      </c>
      <c r="E12" s="4">
        <v>62.165999999999997</v>
      </c>
    </row>
  </sheetData>
  <sheetProtection sheet="1" objects="1" scenarios="1" selectLockedCells="1" selectUnlockedCells="1"/>
  <mergeCells count="1">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Standardization Record</vt:lpstr>
      <vt:lpstr>Water Density Table</vt:lpstr>
      <vt:lpstr>Sheet3</vt:lpstr>
      <vt:lpstr>'Standardization Record'!Print_Area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Holter</dc:creator>
  <cp:lastModifiedBy>Pete Holter</cp:lastModifiedBy>
  <dcterms:created xsi:type="dcterms:W3CDTF">2012-11-09T20:05:39Z</dcterms:created>
  <dcterms:modified xsi:type="dcterms:W3CDTF">2025-08-06T17:55:51Z</dcterms:modified>
</cp:coreProperties>
</file>