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omments3.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https://amrlnet-my.sharepoint.com/personal/pholter_aashtoresource_org/Documents/Documents/AAP/Equipment Procedures and Forms/For Website/Archive/"/>
    </mc:Choice>
  </mc:AlternateContent>
  <xr:revisionPtr revIDLastSave="14" documentId="8_{FA6F13A5-1C7B-4241-90A3-697D06428B29}" xr6:coauthVersionLast="47" xr6:coauthVersionMax="47" xr10:uidLastSave="{EBDA6FE7-BB9F-423A-A33D-F8A6AF276587}"/>
  <bookViews>
    <workbookView xWindow="-120" yWindow="-120" windowWidth="38640" windowHeight="21120" xr2:uid="{00000000-000D-0000-FFFF-FFFF00000000}"/>
  </bookViews>
  <sheets>
    <sheet name="Lab Data" sheetId="1" r:id="rId1"/>
    <sheet name="Cylinder" sheetId="2" r:id="rId2"/>
    <sheet name="Hydrometer" sheetId="3" r:id="rId3"/>
    <sheet name="Table 1" sheetId="5" r:id="rId4"/>
    <sheet name="Water Density" sheetId="4" r:id="rId5"/>
  </sheets>
  <definedNames>
    <definedName name="_xlnm.Print_Area" localSheetId="1">Cylinder!$A$1:$H$39</definedName>
    <definedName name="_xlnm.Print_Area" localSheetId="2">Hydrometer!$A$1:$G$105</definedName>
    <definedName name="_xlnm.Print_Area" localSheetId="0">'Lab Data'!$A$1:$U$94</definedName>
    <definedName name="_xlnm.Print_Area" localSheetId="3">'Table 1'!$A$1:$F$13</definedName>
    <definedName name="_xlnm.Print_Area" localSheetId="4">'Water Density'!$A$1:$D$168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56" i="1" l="1"/>
  <c r="R57" i="1"/>
  <c r="R58" i="1"/>
  <c r="R59" i="1"/>
  <c r="R60" i="1"/>
  <c r="R61" i="1"/>
  <c r="R62" i="1"/>
  <c r="R55" i="1"/>
  <c r="K55" i="1" a="1"/>
  <c r="K55" i="1" s="1"/>
  <c r="K56" i="1" a="1"/>
  <c r="K56" i="1" s="1"/>
  <c r="K57" i="1" a="1"/>
  <c r="K57" i="1" s="1"/>
  <c r="K58" i="1" a="1"/>
  <c r="K58" i="1" s="1"/>
  <c r="K59" i="1" a="1"/>
  <c r="K59" i="1" s="1"/>
  <c r="K60" i="1" a="1"/>
  <c r="K60" i="1"/>
  <c r="K61" i="1" a="1"/>
  <c r="K61" i="1" s="1"/>
  <c r="K62" i="1" a="1"/>
  <c r="K62" i="1" s="1"/>
  <c r="K54" i="1" a="1"/>
  <c r="K54" i="1" s="1"/>
  <c r="R54" i="1" s="1"/>
  <c r="N62" i="1"/>
  <c r="N61" i="1"/>
  <c r="N60" i="1"/>
  <c r="N59" i="1"/>
  <c r="N58" i="1"/>
  <c r="N57" i="1"/>
  <c r="N56" i="1"/>
  <c r="N55" i="1"/>
  <c r="D53" i="3" l="1"/>
  <c r="D54" i="3" s="1"/>
  <c r="E53" i="3"/>
  <c r="F32" i="2"/>
  <c r="F33" i="2" s="1"/>
  <c r="F31" i="2"/>
  <c r="E77" i="3"/>
  <c r="D77" i="3"/>
  <c r="E69" i="3"/>
  <c r="D69" i="3"/>
  <c r="E26" i="3"/>
  <c r="D26" i="3"/>
  <c r="G37" i="2" l="1"/>
  <c r="F37" i="2"/>
  <c r="G15" i="2"/>
  <c r="G18" i="2" s="1"/>
  <c r="G19" i="2" s="1"/>
  <c r="G20" i="2" s="1"/>
  <c r="F15" i="2"/>
  <c r="F22" i="2" s="1"/>
  <c r="G31" i="2"/>
  <c r="G32" i="2" s="1"/>
  <c r="G33" i="2" s="1"/>
  <c r="F26" i="2"/>
  <c r="G24" i="2"/>
  <c r="G26" i="2" s="1"/>
  <c r="F24" i="2"/>
  <c r="D21" i="3"/>
  <c r="E21" i="3"/>
  <c r="D22" i="3"/>
  <c r="E22" i="3"/>
  <c r="D38" i="3"/>
  <c r="E38" i="3"/>
  <c r="D39" i="3"/>
  <c r="E39" i="3"/>
  <c r="D43" i="3"/>
  <c r="N54" i="1" s="1"/>
  <c r="E43" i="3"/>
  <c r="F40" i="2" l="1"/>
  <c r="G38" i="2"/>
  <c r="G40" i="2"/>
  <c r="F38" i="2"/>
  <c r="G22" i="2"/>
  <c r="F18" i="2"/>
  <c r="F19" i="2" s="1"/>
  <c r="F20" i="2" s="1"/>
  <c r="G41" i="2" l="1"/>
  <c r="F41" i="2"/>
  <c r="B164" i="4" l="1"/>
  <c r="B163" i="4"/>
  <c r="B162" i="4"/>
  <c r="B161" i="4"/>
  <c r="B160" i="4"/>
  <c r="B159" i="4"/>
  <c r="B158" i="4"/>
  <c r="B157" i="4"/>
  <c r="B156" i="4"/>
  <c r="B155" i="4"/>
  <c r="B154" i="4"/>
  <c r="B153" i="4"/>
  <c r="B152" i="4"/>
  <c r="B151" i="4"/>
  <c r="B150" i="4"/>
  <c r="B149" i="4"/>
  <c r="B148" i="4"/>
  <c r="B147" i="4"/>
  <c r="B146" i="4"/>
  <c r="B145" i="4"/>
  <c r="B144" i="4"/>
  <c r="B143" i="4"/>
  <c r="B142" i="4"/>
  <c r="B141" i="4"/>
  <c r="B140" i="4"/>
  <c r="B139" i="4"/>
  <c r="B138" i="4"/>
  <c r="B137" i="4"/>
  <c r="B136" i="4"/>
  <c r="B135" i="4"/>
  <c r="B134" i="4"/>
  <c r="B133" i="4"/>
  <c r="B132" i="4"/>
  <c r="B131" i="4"/>
  <c r="B130" i="4"/>
  <c r="B129" i="4"/>
  <c r="B128" i="4"/>
  <c r="B127" i="4"/>
  <c r="B126" i="4"/>
  <c r="B125" i="4"/>
  <c r="B124" i="4"/>
  <c r="B123" i="4"/>
  <c r="B122" i="4"/>
  <c r="B121" i="4"/>
  <c r="B120" i="4"/>
  <c r="B119" i="4"/>
  <c r="B118" i="4"/>
  <c r="B117" i="4"/>
  <c r="B116" i="4"/>
  <c r="B115" i="4"/>
  <c r="B114" i="4"/>
  <c r="B113" i="4"/>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B13" i="4"/>
  <c r="B12" i="4"/>
  <c r="B11" i="4"/>
  <c r="B10" i="4"/>
  <c r="B9" i="4"/>
  <c r="B8" i="4"/>
  <c r="B7" i="4"/>
  <c r="B6" i="4"/>
  <c r="E54" i="3"/>
  <c r="S47" i="1"/>
  <c r="S42" i="1"/>
  <c r="R42" i="1"/>
  <c r="R43" i="1" s="1"/>
  <c r="S41" i="1"/>
  <c r="S40" i="1"/>
  <c r="S39" i="1"/>
  <c r="H38" i="1"/>
  <c r="H42" i="1" s="1"/>
  <c r="K36" i="1"/>
  <c r="K32" i="1"/>
  <c r="K29" i="1"/>
  <c r="O21" i="1"/>
  <c r="P61" i="1" l="1"/>
  <c r="E79" i="1" s="1"/>
  <c r="F78" i="1"/>
  <c r="P57" i="1"/>
  <c r="E75" i="1" s="1"/>
  <c r="F74" i="1"/>
  <c r="P62" i="1"/>
  <c r="E80" i="1" s="1"/>
  <c r="F79" i="1"/>
  <c r="P58" i="1"/>
  <c r="E76" i="1" s="1"/>
  <c r="F75" i="1"/>
  <c r="F80" i="1"/>
  <c r="P59" i="1"/>
  <c r="E77" i="1" s="1"/>
  <c r="F76" i="1"/>
  <c r="P55" i="1"/>
  <c r="E73" i="1" s="1"/>
  <c r="F72" i="1"/>
  <c r="P60" i="1"/>
  <c r="E78" i="1" s="1"/>
  <c r="F77" i="1"/>
  <c r="P56" i="1"/>
  <c r="E74" i="1" s="1"/>
  <c r="F73" i="1"/>
  <c r="P54" i="1"/>
  <c r="E72" i="1" s="1"/>
  <c r="K65" i="1"/>
  <c r="K67" i="1" s="1"/>
  <c r="F71" i="1" s="1"/>
  <c r="K64" i="1"/>
  <c r="L6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Pete Holter</author>
    <author>tc={79D8A65B-7EF9-4352-8E5D-EF1C447829EF}</author>
    <author>tc={CC703DEC-0079-4520-B799-FAE72CCC4D54}</author>
  </authors>
  <commentList>
    <comment ref="F19" authorId="0" shapeId="0" xr:uid="{FBEA5C46-6A74-4F33-A680-1873DD9DDD20}">
      <text>
        <r>
          <rPr>
            <b/>
            <sz val="9"/>
            <color indexed="81"/>
            <rFont val="Tahoma"/>
            <family val="2"/>
          </rPr>
          <t>Pete Holter:</t>
        </r>
        <r>
          <rPr>
            <sz val="9"/>
            <color indexed="81"/>
            <rFont val="Tahoma"/>
            <family val="2"/>
          </rPr>
          <t xml:space="preserve">
This is used to format the temperature data below and to flag results documented beyond the resolution of the thermometer.</t>
        </r>
      </text>
    </comment>
    <comment ref="B22" authorId="0" shapeId="0" xr:uid="{9AE4BE25-0DA7-45F9-B478-7E70A7BCBB7B}">
      <text>
        <r>
          <rPr>
            <b/>
            <sz val="9"/>
            <color indexed="81"/>
            <rFont val="Tahoma"/>
            <family val="2"/>
          </rPr>
          <t>Pete Holter:</t>
        </r>
        <r>
          <rPr>
            <sz val="9"/>
            <color indexed="81"/>
            <rFont val="Tahoma"/>
            <family val="2"/>
          </rPr>
          <t xml:space="preserve">
Section 9.9: "Place the sedimentation specimen in the specimen mixing container and record the identification of the specimen mixing container"</t>
        </r>
      </text>
    </comment>
    <comment ref="B23" authorId="0" shapeId="0" xr:uid="{7BF94400-8B64-4073-A7E4-AD5C26B1FA08}">
      <text>
        <r>
          <rPr>
            <b/>
            <sz val="9"/>
            <color indexed="81"/>
            <rFont val="Tahoma"/>
            <family val="2"/>
          </rPr>
          <t>Pete Holter:</t>
        </r>
        <r>
          <rPr>
            <sz val="9"/>
            <color indexed="81"/>
            <rFont val="Tahoma"/>
            <family val="2"/>
          </rPr>
          <t xml:space="preserve">
If there is enough material in the sedimentation sample, a separate sample is dried per D2216 to determine the water content.  If not, the water content is determined in the container large enough to hold the soil suspension.</t>
        </r>
      </text>
    </comment>
    <comment ref="B24" authorId="0" shapeId="0" xr:uid="{666B1862-ABAE-4DB5-B606-05716415B23C}">
      <text>
        <r>
          <rPr>
            <b/>
            <sz val="9"/>
            <color indexed="81"/>
            <rFont val="Tahoma"/>
            <family val="2"/>
          </rPr>
          <t>Pete Holter:</t>
        </r>
        <r>
          <rPr>
            <sz val="9"/>
            <color indexed="81"/>
            <rFont val="Tahoma"/>
            <family val="2"/>
          </rPr>
          <t xml:space="preserve">
If there is enough material in the sedimentation sample, a separate sample is dried per D2216 to determine the water content.  If not, the water content is determined in the container large enough to hold the soil suspension.</t>
        </r>
      </text>
    </comment>
    <comment ref="L24" authorId="0" shapeId="0" xr:uid="{EE5954AD-2A35-4639-84D2-447D0EF7C410}">
      <text>
        <r>
          <rPr>
            <b/>
            <sz val="9"/>
            <color indexed="81"/>
            <rFont val="Tahoma"/>
            <family val="2"/>
          </rPr>
          <t>Pete Holter:</t>
        </r>
        <r>
          <rPr>
            <sz val="9"/>
            <color indexed="81"/>
            <rFont val="Tahoma"/>
            <family val="2"/>
          </rPr>
          <t xml:space="preserve">
A different balance with a  larger capacity may be needed for the original sample mass determination.</t>
        </r>
      </text>
    </comment>
    <comment ref="O25" authorId="0" shapeId="0" xr:uid="{E099A51D-6C89-4832-A511-4B1E1437745F}">
      <text>
        <r>
          <rPr>
            <b/>
            <sz val="9"/>
            <color indexed="81"/>
            <rFont val="Tahoma"/>
            <family val="2"/>
          </rPr>
          <t>Pete Holter:</t>
        </r>
        <r>
          <rPr>
            <sz val="9"/>
            <color indexed="81"/>
            <rFont val="Tahoma"/>
            <family val="2"/>
          </rPr>
          <t xml:space="preserve">
The resolution is needed to format the original sample mass below and to flag results documented beyond the resolution of the balance.</t>
        </r>
      </text>
    </comment>
    <comment ref="B37" authorId="1" shapeId="0" xr:uid="{79D8A65B-7EF9-4352-8E5D-EF1C447829EF}">
      <text>
        <t>[Threaded comment]
Your version of Excel allows you to read this threaded comment; however, any edits to it will get removed if the file is opened in a newer version of Excel. Learn more: https://go.microsoft.com/fwlink/?linkid=870924
Comment:
    Section 9.5: "Estimate the amount of moist mass needed for the sedimentation test..."</t>
      </text>
    </comment>
    <comment ref="B46" authorId="2" shapeId="0" xr:uid="{CC703DEC-0079-4520-B799-FAE72CCC4D54}">
      <text>
        <t>[Threaded comment]
Your version of Excel allows you to read this threaded comment; however, any edits to it will get removed if the file is opened in a newer version of Excel. Learn more: https://go.microsoft.com/fwlink/?linkid=870924
Comment:
    Section 9.8: "Record the mass of the moist soil, Mm, used for the sedimentation test..."</t>
      </text>
    </comment>
    <comment ref="J64" authorId="0" shapeId="0" xr:uid="{E8EE9DAE-A52B-41B4-B1A8-1F0C11EF600E}">
      <text>
        <r>
          <rPr>
            <b/>
            <sz val="9"/>
            <color indexed="81"/>
            <rFont val="Tahoma"/>
            <family val="2"/>
          </rPr>
          <t>Pete Holter:</t>
        </r>
        <r>
          <rPr>
            <sz val="9"/>
            <color indexed="81"/>
            <rFont val="Tahoma"/>
            <family val="2"/>
          </rPr>
          <t xml:space="preserve">
Dry Mass of Specimen Plus Dispersant</t>
        </r>
      </text>
    </comment>
    <comment ref="J65" authorId="0" shapeId="0" xr:uid="{9BF8DA28-2BFE-48F4-8A60-780F356F3048}">
      <text>
        <r>
          <rPr>
            <b/>
            <sz val="9"/>
            <color indexed="81"/>
            <rFont val="Tahoma"/>
            <family val="2"/>
          </rPr>
          <t>Pete Holter:</t>
        </r>
        <r>
          <rPr>
            <sz val="9"/>
            <color indexed="81"/>
            <rFont val="Tahoma"/>
            <family val="2"/>
          </rPr>
          <t xml:space="preserve">
Dry Mass of Specimen</t>
        </r>
      </text>
    </comment>
    <comment ref="J66" authorId="0" shapeId="0" xr:uid="{263394F2-B758-48CB-A404-41ADB3AC008B}">
      <text>
        <r>
          <rPr>
            <b/>
            <sz val="9"/>
            <color indexed="81"/>
            <rFont val="Tahoma"/>
            <family val="2"/>
          </rPr>
          <t>Pete Holter:</t>
        </r>
        <r>
          <rPr>
            <sz val="9"/>
            <color indexed="81"/>
            <rFont val="Tahoma"/>
            <family val="2"/>
          </rPr>
          <t xml:space="preserve">
Dry Mass of the Specimen Retained on the No. 200 Sieve</t>
        </r>
      </text>
    </comment>
    <comment ref="J67" authorId="0" shapeId="0" xr:uid="{74E15599-EE76-46D8-84A2-255BD2D49CB0}">
      <text>
        <r>
          <rPr>
            <b/>
            <sz val="9"/>
            <color indexed="81"/>
            <rFont val="Tahoma"/>
            <family val="2"/>
          </rPr>
          <t>Pete Holter:</t>
        </r>
        <r>
          <rPr>
            <sz val="9"/>
            <color indexed="81"/>
            <rFont val="Tahoma"/>
            <family val="2"/>
          </rPr>
          <t xml:space="preserve">
Percent Passing the No. 200 Sieve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Pete Holter</author>
  </authors>
  <commentList>
    <comment ref="B7" authorId="0" shapeId="0" xr:uid="{8C5D8FD3-F25A-4A57-A928-7A0B9E847993}">
      <text>
        <r>
          <rPr>
            <b/>
            <sz val="9"/>
            <color indexed="81"/>
            <rFont val="Tahoma"/>
            <family val="2"/>
          </rPr>
          <t>Pete Holter:</t>
        </r>
        <r>
          <rPr>
            <sz val="9"/>
            <color indexed="81"/>
            <rFont val="Tahoma"/>
            <family val="2"/>
          </rPr>
          <t xml:space="preserve">
It is assumed that the balance is readable to 0.01 g.</t>
        </r>
      </text>
    </comment>
    <comment ref="B8" authorId="0" shapeId="0" xr:uid="{93B26786-ED3D-4D65-8F6C-D44B28CD89CA}">
      <text>
        <r>
          <rPr>
            <b/>
            <sz val="9"/>
            <color indexed="81"/>
            <rFont val="Tahoma"/>
            <family val="2"/>
          </rPr>
          <t>Pete Holter:</t>
        </r>
        <r>
          <rPr>
            <sz val="9"/>
            <color indexed="81"/>
            <rFont val="Tahoma"/>
            <family val="2"/>
          </rPr>
          <t xml:space="preserve">
It is assumed that the thermometer is readable to 0.1 degree.</t>
        </r>
      </text>
    </comment>
    <comment ref="B9" authorId="0" shapeId="0" xr:uid="{18E9F061-2F56-43AF-B902-3836C758A0EB}">
      <text>
        <r>
          <rPr>
            <b/>
            <sz val="9"/>
            <color indexed="81"/>
            <rFont val="Tahoma"/>
            <family val="2"/>
          </rPr>
          <t>Pete Holter:</t>
        </r>
        <r>
          <rPr>
            <sz val="9"/>
            <color indexed="81"/>
            <rFont val="Tahoma"/>
            <family val="2"/>
          </rPr>
          <t xml:space="preserve">
It is assumed that the caliper is readable to 0.01 mm.</t>
        </r>
      </text>
    </comment>
    <comment ref="B16" authorId="0" shapeId="0" xr:uid="{4017A886-E288-4DD1-AFD2-9994B3956F20}">
      <text>
        <r>
          <rPr>
            <b/>
            <sz val="9"/>
            <color indexed="81"/>
            <rFont val="Tahoma"/>
            <family val="2"/>
          </rPr>
          <t>Pete Holter:</t>
        </r>
        <r>
          <rPr>
            <sz val="9"/>
            <color indexed="81"/>
            <rFont val="Tahoma"/>
            <family val="2"/>
          </rPr>
          <t xml:space="preserve">
Previous versions of D7928 did not have you do it this way.</t>
        </r>
      </text>
    </comment>
    <comment ref="B21" authorId="0" shapeId="0" xr:uid="{3373ED72-C5EF-46B8-BC17-04CFC931301C}">
      <text>
        <r>
          <rPr>
            <b/>
            <sz val="9"/>
            <color indexed="81"/>
            <rFont val="Tahoma"/>
            <family val="2"/>
          </rPr>
          <t>Pete Holter:</t>
        </r>
        <r>
          <rPr>
            <sz val="9"/>
            <color indexed="81"/>
            <rFont val="Tahoma"/>
            <family val="2"/>
          </rPr>
          <t xml:space="preserve">
This is what previous versions of D7928 required you to do.  The new version just tells you to remark the cylinder if the fill to calibration mark fails.  This would be an acceptable method in that case.</t>
        </r>
      </text>
    </comment>
    <comment ref="E22" authorId="0" shapeId="0" xr:uid="{2741F94C-1FBF-4DD2-937D-CB9C6B6FFDF3}">
      <text>
        <r>
          <rPr>
            <b/>
            <sz val="9"/>
            <color indexed="81"/>
            <rFont val="Tahoma"/>
            <family val="2"/>
          </rPr>
          <t>Pete Holter:</t>
        </r>
        <r>
          <rPr>
            <sz val="9"/>
            <color indexed="81"/>
            <rFont val="Tahoma"/>
            <family val="2"/>
          </rPr>
          <t xml:space="preserve">
Calculated from Temperature</t>
        </r>
      </text>
    </comment>
    <comment ref="E23" authorId="0" shapeId="0" xr:uid="{6890AE8B-FB77-405F-A7AB-64B1E94335E0}">
      <text>
        <r>
          <rPr>
            <b/>
            <sz val="9"/>
            <color indexed="81"/>
            <rFont val="Tahoma"/>
            <family val="2"/>
          </rPr>
          <t>Pete Holter:</t>
        </r>
        <r>
          <rPr>
            <sz val="9"/>
            <color indexed="81"/>
            <rFont val="Tahoma"/>
            <family val="2"/>
          </rPr>
          <t xml:space="preserve">
The volume is within tolerance if the water level is within about 2 mm of the calibration mark.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Pete Holter</author>
    <author>tc={1DF66B90-D24C-4713-9396-74681B11059C}</author>
    <author>tc={E5588665-C2AB-4833-8A93-F2145A8BDE4A}</author>
    <author>tc={A1B874FE-0215-4FA0-BB28-D0CF9A1E2C29}</author>
    <author>tc={B7E58F55-9A33-4178-8A51-BDD5E2212E61}</author>
    <author>tc={3A616A23-A797-4D11-9EC0-0FFFC923091F}</author>
    <author>tc={EBA7C4A8-5735-4E9A-9F25-073B9C1C5BE0}</author>
    <author>tc={D8B6E3FD-BD54-4B86-9257-2244EF533971}</author>
    <author>tc={8787CD3D-DB27-4036-A1C1-435B950B8FDB}</author>
    <author>tc={B62768EA-F1C5-46D0-AB94-E8BE097EC3E5}</author>
    <author>tc={999E6EA2-8266-43CD-AB04-1A9DA4493858}</author>
    <author>tc={506246E9-97F5-4C9D-AC1E-2E4D2663ADC2}</author>
  </authors>
  <commentList>
    <comment ref="B9" authorId="0" shapeId="0" xr:uid="{4DB744EA-3FF0-4138-AB51-453626FC5066}">
      <text>
        <r>
          <rPr>
            <b/>
            <sz val="9"/>
            <color indexed="81"/>
            <rFont val="Tahoma"/>
            <family val="2"/>
          </rPr>
          <t>Pete Holter:</t>
        </r>
        <r>
          <rPr>
            <sz val="9"/>
            <color indexed="81"/>
            <rFont val="Tahoma"/>
            <family val="2"/>
          </rPr>
          <t xml:space="preserve">
It is assumed that the balance is readable to 0.01 g.</t>
        </r>
      </text>
    </comment>
    <comment ref="B10" authorId="0" shapeId="0" xr:uid="{5E9642E5-11F7-49C4-B9B5-BA8CAD9F3181}">
      <text>
        <r>
          <rPr>
            <b/>
            <sz val="9"/>
            <color indexed="81"/>
            <rFont val="Tahoma"/>
            <family val="2"/>
          </rPr>
          <t>Pete Holter:</t>
        </r>
        <r>
          <rPr>
            <sz val="9"/>
            <color indexed="81"/>
            <rFont val="Tahoma"/>
            <family val="2"/>
          </rPr>
          <t xml:space="preserve">
It is assumed that the thermometer is readable to 0.1 degree.</t>
        </r>
      </text>
    </comment>
    <comment ref="B11" authorId="0" shapeId="0" xr:uid="{0CB264B0-0402-41F5-8C54-C6A7E97B5C76}">
      <text>
        <r>
          <rPr>
            <b/>
            <sz val="9"/>
            <color indexed="81"/>
            <rFont val="Tahoma"/>
            <family val="2"/>
          </rPr>
          <t>Pete Holter:</t>
        </r>
        <r>
          <rPr>
            <sz val="9"/>
            <color indexed="81"/>
            <rFont val="Tahoma"/>
            <family val="2"/>
          </rPr>
          <t xml:space="preserve">
It is assumed that the caliper is readable to 0.01 mm.</t>
        </r>
      </text>
    </comment>
    <comment ref="B12" authorId="1" shapeId="0" xr:uid="{1DF66B90-D24C-4713-9396-74681B11059C}">
      <text>
        <t>[Threaded comment]
Your version of Excel allows you to read this threaded comment; however, any edits to it will get removed if the file is opened in a newer version of Excel. Learn more: https://go.microsoft.com/fwlink/?linkid=870924
Comment:
    Section 10.1: "Check and record the dimensions of the 151H or 152H hydrometers as presented in Annex A1..."  However, Hr1 and Hr2 are included below with the bulb volume determination.</t>
      </text>
    </comment>
    <comment ref="B13" authorId="0" shapeId="0" xr:uid="{EF8639A4-08BC-4042-800F-169B43BC1B24}">
      <text>
        <r>
          <rPr>
            <b/>
            <sz val="9"/>
            <color indexed="81"/>
            <rFont val="Tahoma"/>
            <family val="2"/>
          </rPr>
          <t>Pete Holter:</t>
        </r>
        <r>
          <rPr>
            <sz val="9"/>
            <color indexed="81"/>
            <rFont val="Tahoma"/>
            <family val="2"/>
          </rPr>
          <t xml:space="preserve">
Total length of the hydrometer</t>
        </r>
      </text>
    </comment>
    <comment ref="B14" authorId="0" shapeId="0" xr:uid="{D2F62612-5E7D-427C-BFAE-C41E2FEB3427}">
      <text>
        <r>
          <rPr>
            <b/>
            <sz val="9"/>
            <color indexed="81"/>
            <rFont val="Tahoma"/>
            <family val="2"/>
          </rPr>
          <t>Pete Holter:</t>
        </r>
        <r>
          <rPr>
            <sz val="9"/>
            <color indexed="81"/>
            <rFont val="Tahoma"/>
            <family val="2"/>
          </rPr>
          <t xml:space="preserve">
The distance from the key reference point on the nominal scale to the bottom of the hydrometer bulb</t>
        </r>
      </text>
    </comment>
    <comment ref="B15" authorId="0" shapeId="0" xr:uid="{4E8FD684-9FF4-47A6-9E06-97B52C2A234C}">
      <text>
        <r>
          <rPr>
            <b/>
            <sz val="9"/>
            <color indexed="81"/>
            <rFont val="Tahoma"/>
            <family val="2"/>
          </rPr>
          <t>Pete Holter:</t>
        </r>
        <r>
          <rPr>
            <sz val="9"/>
            <color indexed="81"/>
            <rFont val="Tahoma"/>
            <family val="2"/>
          </rPr>
          <t xml:space="preserve">
The overall length of the hydrometer bulb</t>
        </r>
      </text>
    </comment>
    <comment ref="B16" authorId="0" shapeId="0" xr:uid="{0276E9E8-3552-4200-9E84-D886FA40F02D}">
      <text>
        <r>
          <rPr>
            <b/>
            <sz val="9"/>
            <color indexed="81"/>
            <rFont val="Tahoma"/>
            <family val="2"/>
          </rPr>
          <t>Pete Holter:</t>
        </r>
        <r>
          <rPr>
            <sz val="9"/>
            <color indexed="81"/>
            <rFont val="Tahoma"/>
            <family val="2"/>
          </rPr>
          <t xml:space="preserve">
Maximum diameter of the bulb</t>
        </r>
      </text>
    </comment>
    <comment ref="B17" authorId="0" shapeId="0" xr:uid="{10CE0D5E-97A8-4465-A773-F4F613281085}">
      <text>
        <r>
          <rPr>
            <b/>
            <sz val="9"/>
            <color indexed="81"/>
            <rFont val="Tahoma"/>
            <family val="2"/>
          </rPr>
          <t>Pete Holter:</t>
        </r>
        <r>
          <rPr>
            <sz val="9"/>
            <color indexed="81"/>
            <rFont val="Tahoma"/>
            <family val="2"/>
          </rPr>
          <t xml:space="preserve">
The distance from the bottom of the hydrometer bulb to the maximum diameter of the bulb</t>
        </r>
      </text>
    </comment>
    <comment ref="B18" authorId="0" shapeId="0" xr:uid="{9336A2DF-A5D8-495D-9838-F640AFB7997D}">
      <text>
        <r>
          <rPr>
            <b/>
            <sz val="9"/>
            <color indexed="81"/>
            <rFont val="Tahoma"/>
            <family val="2"/>
          </rPr>
          <t>Pete Holter:</t>
        </r>
        <r>
          <rPr>
            <sz val="9"/>
            <color indexed="81"/>
            <rFont val="Tahoma"/>
            <family val="2"/>
          </rPr>
          <t xml:space="preserve">
The length of the quoted nominal scale as stated in Specification E100</t>
        </r>
      </text>
    </comment>
    <comment ref="B19" authorId="0" shapeId="0" xr:uid="{8DBB30CD-66C4-4106-B874-425B0C0C02A8}">
      <text>
        <r>
          <rPr>
            <b/>
            <sz val="9"/>
            <color indexed="81"/>
            <rFont val="Tahoma"/>
            <family val="2"/>
          </rPr>
          <t>Pete Holter:</t>
        </r>
        <r>
          <rPr>
            <sz val="9"/>
            <color indexed="81"/>
            <rFont val="Tahoma"/>
            <family val="2"/>
          </rPr>
          <t xml:space="preserve">
The length of stem above the topmost graduation</t>
        </r>
      </text>
    </comment>
    <comment ref="B20" authorId="0" shapeId="0" xr:uid="{5E466B00-4795-4DA3-AFD4-79477D9D48FB}">
      <text>
        <r>
          <rPr>
            <b/>
            <sz val="9"/>
            <color indexed="81"/>
            <rFont val="Tahoma"/>
            <family val="2"/>
          </rPr>
          <t>Pete Holter:</t>
        </r>
        <r>
          <rPr>
            <sz val="9"/>
            <color indexed="81"/>
            <rFont val="Tahoma"/>
            <family val="2"/>
          </rPr>
          <t xml:space="preserve">
The length of stem below the lowest graduation</t>
        </r>
      </text>
    </comment>
    <comment ref="B21" authorId="0" shapeId="0" xr:uid="{F28C6ECE-1BB2-41F7-9543-DEF0A20301B0}">
      <text>
        <r>
          <rPr>
            <b/>
            <sz val="9"/>
            <color indexed="81"/>
            <rFont val="Tahoma"/>
            <family val="2"/>
          </rPr>
          <t>Pete Holter:</t>
        </r>
        <r>
          <rPr>
            <sz val="9"/>
            <color indexed="81"/>
            <rFont val="Tahoma"/>
            <family val="2"/>
          </rPr>
          <t xml:space="preserve">
Minimum hydrometer reading</t>
        </r>
      </text>
    </comment>
    <comment ref="B22" authorId="0" shapeId="0" xr:uid="{4690A8C0-5273-4E78-978E-5F03E9FA7C57}">
      <text>
        <r>
          <rPr>
            <b/>
            <sz val="9"/>
            <color indexed="81"/>
            <rFont val="Tahoma"/>
            <family val="2"/>
          </rPr>
          <t>Pete Holter:</t>
        </r>
        <r>
          <rPr>
            <sz val="9"/>
            <color indexed="81"/>
            <rFont val="Tahoma"/>
            <family val="2"/>
          </rPr>
          <t xml:space="preserve">
Maximum hydrometer reading</t>
        </r>
      </text>
    </comment>
    <comment ref="B23" authorId="2" shapeId="0" xr:uid="{E5588665-C2AB-4833-8A93-F2145A8BDE4A}">
      <text>
        <t>[Threaded comment]
Your version of Excel allows you to read this threaded comment; however, any edits to it will get removed if the file is opened in a newer version of Excel. Learn more: https://go.microsoft.com/fwlink/?linkid=870924
Comment:
    Section A1.3.3: "Points—The 152H hydrometer should read 0.0 +/- 1 g/L and 1.000 +/- 0.001 specific gravity for the 151H hydrometer at the bottom of the meniscus when placed in distilled water that is free of gas bubbles at the calibration temperature of the hydrometers."</t>
      </text>
    </comment>
    <comment ref="B25" authorId="3" shapeId="0" xr:uid="{A1B874FE-0215-4FA0-BB28-D0CF9A1E2C29}">
      <text>
        <t>[Threaded comment]
Your version of Excel allows you to read this threaded comment; however, any edits to it will get removed if the file is opened in a newer version of Excel. Learn more: https://go.microsoft.com/fwlink/?linkid=870924
Comment:
    Section A1.3.3: "At temperatures other than the calibration temperature of the hydrometer, the required reading shall be adjusted..."</t>
      </text>
    </comment>
    <comment ref="C25" authorId="0" shapeId="0" xr:uid="{5AE7389E-E060-4710-83C1-F919F11A1E86}">
      <text>
        <r>
          <rPr>
            <b/>
            <sz val="9"/>
            <color indexed="81"/>
            <rFont val="Tahoma"/>
            <family val="2"/>
          </rPr>
          <t>Pete Holter:</t>
        </r>
        <r>
          <rPr>
            <sz val="9"/>
            <color indexed="81"/>
            <rFont val="Tahoma"/>
            <family val="2"/>
          </rPr>
          <t xml:space="preserve">
Temperatures above 40 are treated as Fahrenheit.</t>
        </r>
      </text>
    </comment>
    <comment ref="B27" authorId="4" shapeId="0" xr:uid="{B7E58F55-9A33-4178-8A51-BDD5E2212E61}">
      <text>
        <t>[Threaded comment]
Your version of Excel allows you to read this threaded comment; however, any edits to it will get removed if the file is opened in a newer version of Excel. Learn more: https://go.microsoft.com/fwlink/?linkid=870924
Comment:
    Section 10.2.2: "This option generates a
general calibration relationship between the hydrometer reading of a control cylinder filled with the reference solution and the temperature, which eliminates the need for companion measurements during the test."</t>
      </text>
    </comment>
    <comment ref="B38" authorId="5" shapeId="0" xr:uid="{3A616A23-A797-4D11-9EC0-0FFFC923091F}">
      <text>
        <t>[Threaded comment]
Your version of Excel allows you to read this threaded comment; however, any edits to it will get removed if the file is opened in a newer version of Excel. Learn more: https://go.microsoft.com/fwlink/?linkid=870924
Comment:
    Sections 10.2.2.1 and 10.2.2.2: "The standard deviation of the 5 [hydrometer] measurements shall
be less than 0.0005 [for a 151H hydrometer] and less than 0.5 g/L [for a 152H hydrometer.]"</t>
      </text>
    </comment>
    <comment ref="B39" authorId="0" shapeId="0" xr:uid="{65E7F5CB-7EB7-44E9-9A19-E8CFBB4EDF25}">
      <text>
        <r>
          <rPr>
            <b/>
            <sz val="9"/>
            <color indexed="81"/>
            <rFont val="Tahoma"/>
            <family val="2"/>
          </rPr>
          <t>Pete Holter:</t>
        </r>
        <r>
          <rPr>
            <sz val="9"/>
            <color indexed="81"/>
            <rFont val="Tahoma"/>
            <family val="2"/>
          </rPr>
          <t xml:space="preserve">
The average value used when computing the temperature-density correction</t>
        </r>
      </text>
    </comment>
    <comment ref="B40" authorId="6" shapeId="0" xr:uid="{EBA7C4A8-5735-4E9A-9F25-073B9C1C5BE0}">
      <text>
        <t>[Threaded comment]
Your version of Excel allows you to read this threaded comment; however, any edits to it will get removed if the file is opened in a newer version of Excel. Learn more: https://go.microsoft.com/fwlink/?linkid=870924
Comment:
    Section 10.3: "Hydrometers are designed to be read at the fluid surface..."</t>
      </text>
    </comment>
    <comment ref="B45" authorId="7" shapeId="0" xr:uid="{D8B6E3FD-BD54-4B86-9257-2244EF533971}">
      <text>
        <t>[Threaded comment]
Your version of Excel allows you to read this threaded comment; however, any edits to it will get removed if the file is opened in a newer version of Excel. Learn more: https://go.microsoft.com/fwlink/?linkid=870924
Comment:
    The volume determination required by Sections 10.4.1 and A1.3.4 does not necessitate three trials for the indirect method.  However, Figure X1.4 shows the volume being determined by the indirect method, and includes data for three trials.  In case the intention of Section A1.3.4 is to require three trials for either method, this spreadsheet requires three trials for both methods.</t>
      </text>
    </comment>
    <comment ref="B47" authorId="0" shapeId="0" xr:uid="{51169E46-AF98-4C08-9012-5B204935D651}">
      <text>
        <r>
          <rPr>
            <b/>
            <sz val="9"/>
            <color indexed="81"/>
            <rFont val="Tahoma"/>
            <family val="2"/>
          </rPr>
          <t>Pete Holter:</t>
        </r>
        <r>
          <rPr>
            <sz val="9"/>
            <color indexed="81"/>
            <rFont val="Tahoma"/>
            <family val="2"/>
          </rPr>
          <t xml:space="preserve">
This row receives an initial reading in the graduated cylinder for the direct method, or 0 as a tare for the indirect method.</t>
        </r>
      </text>
    </comment>
    <comment ref="B48" authorId="0" shapeId="0" xr:uid="{16E53CFC-5C9D-421D-B20C-C03DF8E74C5B}">
      <text>
        <r>
          <rPr>
            <b/>
            <sz val="9"/>
            <color indexed="81"/>
            <rFont val="Tahoma"/>
            <family val="2"/>
          </rPr>
          <t>Pete Holter:</t>
        </r>
        <r>
          <rPr>
            <sz val="9"/>
            <color indexed="81"/>
            <rFont val="Tahoma"/>
            <family val="2"/>
          </rPr>
          <t xml:space="preserve">
This row receives a final reading in the graduated cylinder for the direct method, or a mass of displaced water for the indirect method.</t>
        </r>
      </text>
    </comment>
    <comment ref="B49" authorId="0" shapeId="0" xr:uid="{558F5AA9-C62C-4A15-A726-D43CEC6510D4}">
      <text>
        <r>
          <rPr>
            <b/>
            <sz val="9"/>
            <color indexed="81"/>
            <rFont val="Tahoma"/>
            <family val="2"/>
          </rPr>
          <t>Pete Holter:</t>
        </r>
        <r>
          <rPr>
            <sz val="9"/>
            <color indexed="81"/>
            <rFont val="Tahoma"/>
            <family val="2"/>
          </rPr>
          <t xml:space="preserve">
This row receives an initial reading in the graduated cylinder for the direct method.</t>
        </r>
      </text>
    </comment>
    <comment ref="B50" authorId="0" shapeId="0" xr:uid="{3B00E576-3F1A-4197-9ABF-54024F6D5612}">
      <text>
        <r>
          <rPr>
            <b/>
            <sz val="9"/>
            <color indexed="81"/>
            <rFont val="Tahoma"/>
            <family val="2"/>
          </rPr>
          <t>Pete Holter:</t>
        </r>
        <r>
          <rPr>
            <sz val="9"/>
            <color indexed="81"/>
            <rFont val="Tahoma"/>
            <family val="2"/>
          </rPr>
          <t xml:space="preserve">
This row receives a final reading in the graduated cylinder for the direct method.</t>
        </r>
      </text>
    </comment>
    <comment ref="B51" authorId="0" shapeId="0" xr:uid="{FEA09CDB-2AA6-4B51-B717-1EF217EEC8B2}">
      <text>
        <r>
          <rPr>
            <b/>
            <sz val="9"/>
            <color indexed="81"/>
            <rFont val="Tahoma"/>
            <family val="2"/>
          </rPr>
          <t>Pete Holter:</t>
        </r>
        <r>
          <rPr>
            <sz val="9"/>
            <color indexed="81"/>
            <rFont val="Tahoma"/>
            <family val="2"/>
          </rPr>
          <t xml:space="preserve">
This row receives an initial reading in the graduated cylinder for the direct method.</t>
        </r>
      </text>
    </comment>
    <comment ref="B52" authorId="0" shapeId="0" xr:uid="{522B58F1-3F44-460F-A0D6-2F2E64832F50}">
      <text>
        <r>
          <rPr>
            <b/>
            <sz val="9"/>
            <color indexed="81"/>
            <rFont val="Tahoma"/>
            <family val="2"/>
          </rPr>
          <t>Pete Holter:</t>
        </r>
        <r>
          <rPr>
            <sz val="9"/>
            <color indexed="81"/>
            <rFont val="Tahoma"/>
            <family val="2"/>
          </rPr>
          <t xml:space="preserve">
This row receives a final reading in the graduated cylinder for the direct method.</t>
        </r>
      </text>
    </comment>
    <comment ref="B53" authorId="0" shapeId="0" xr:uid="{6D05811E-B1A5-4BE0-AF17-2F27E46A6775}">
      <text>
        <r>
          <rPr>
            <b/>
            <sz val="9"/>
            <color indexed="81"/>
            <rFont val="Tahoma"/>
            <family val="2"/>
          </rPr>
          <t>Pete Holter:</t>
        </r>
        <r>
          <rPr>
            <sz val="9"/>
            <color indexed="81"/>
            <rFont val="Tahoma"/>
            <family val="2"/>
          </rPr>
          <t xml:space="preserve">
The volume of the hydrometer bulb</t>
        </r>
      </text>
    </comment>
    <comment ref="B54" authorId="0" shapeId="0" xr:uid="{5D2A3394-8681-4B75-A4A3-6F628F087B10}">
      <text>
        <r>
          <rPr>
            <b/>
            <sz val="9"/>
            <color indexed="81"/>
            <rFont val="Tahoma"/>
            <family val="2"/>
          </rPr>
          <t>Pete Holter:</t>
        </r>
        <r>
          <rPr>
            <sz val="9"/>
            <color indexed="81"/>
            <rFont val="Tahoma"/>
            <family val="2"/>
          </rPr>
          <t xml:space="preserve">
Provided as a guide to help determine where to mark the center of (volume) buoyancy (cb)</t>
        </r>
      </text>
    </comment>
    <comment ref="B55" authorId="0" shapeId="0" xr:uid="{8E847C61-13FE-4279-9E03-D688C84276C3}">
      <text>
        <r>
          <rPr>
            <b/>
            <sz val="9"/>
            <color indexed="81"/>
            <rFont val="Tahoma"/>
            <family val="2"/>
          </rPr>
          <t>Pete Holter:</t>
        </r>
        <r>
          <rPr>
            <sz val="9"/>
            <color indexed="81"/>
            <rFont val="Tahoma"/>
            <family val="2"/>
          </rPr>
          <t xml:space="preserve">
Distance from the minimum hydrometer reading to the center of (volume) buoyancy (from r1 to cb)</t>
        </r>
      </text>
    </comment>
    <comment ref="B56" authorId="0" shapeId="0" xr:uid="{699EF0E4-35AF-4E52-BD44-32A890A350E8}">
      <text>
        <r>
          <rPr>
            <b/>
            <sz val="9"/>
            <color indexed="81"/>
            <rFont val="Tahoma"/>
            <family val="2"/>
          </rPr>
          <t>Pete Holter:</t>
        </r>
        <r>
          <rPr>
            <sz val="9"/>
            <color indexed="81"/>
            <rFont val="Tahoma"/>
            <family val="2"/>
          </rPr>
          <t xml:space="preserve">
Distance from the maximum hydrometer reading to the center of (volume) buoyancy (from r2 to cb)</t>
        </r>
      </text>
    </comment>
    <comment ref="B65" authorId="0" shapeId="0" xr:uid="{4CB4520E-10EF-4229-A9BA-BB65CA58BD23}">
      <text>
        <r>
          <rPr>
            <b/>
            <sz val="9"/>
            <color indexed="81"/>
            <rFont val="Tahoma"/>
            <family val="2"/>
          </rPr>
          <t>Pete Holter:</t>
        </r>
        <r>
          <rPr>
            <sz val="9"/>
            <color indexed="81"/>
            <rFont val="Tahoma"/>
            <family val="2"/>
          </rPr>
          <t xml:space="preserve">
It is assumed that the caliper is readable to 0.01 mm.</t>
        </r>
      </text>
    </comment>
    <comment ref="B66" authorId="8" shapeId="0" xr:uid="{8787CD3D-DB27-4036-A1C1-435B950B8FDB}">
      <text>
        <t>[Threaded comment]
Your version of Excel allows you to read this threaded comment; however, any edits to it will get removed if the file is opened in a newer version of Excel. Learn more: https://go.microsoft.com/fwlink/?linkid=870924
Comment:
    Section A1.3.3: "Points—The 152H hydrometer should read 0.0 +/- 1 g/L and 1.000 +/- 0.001 specific gravity for the 151H hydrometer at the bottom of the meniscus when placed in distilled water that is free of gas bubbles at the calibration temperature of the hydrometers."</t>
      </text>
    </comment>
    <comment ref="B68" authorId="9" shapeId="0" xr:uid="{B62768EA-F1C5-46D0-AB94-E8BE097EC3E5}">
      <text>
        <t>[Threaded comment]
Your version of Excel allows you to read this threaded comment; however, any edits to it will get removed if the file is opened in a newer version of Excel. Learn more: https://go.microsoft.com/fwlink/?linkid=870924
Comment:
    Section A1.3.3: "At temperatures other than the calibration temperature of the hydrometer, the required reading shall be adjusted..."</t>
      </text>
    </comment>
    <comment ref="C68" authorId="0" shapeId="0" xr:uid="{AAF8FCE4-A476-4C1C-BA76-3177517BB9FC}">
      <text>
        <r>
          <rPr>
            <b/>
            <sz val="9"/>
            <color indexed="81"/>
            <rFont val="Tahoma"/>
            <family val="2"/>
          </rPr>
          <t>Pete Holter:</t>
        </r>
        <r>
          <rPr>
            <sz val="9"/>
            <color indexed="81"/>
            <rFont val="Tahoma"/>
            <family val="2"/>
          </rPr>
          <t xml:space="preserve">
Temperatures above 40 are treated as Fahrenheit.</t>
        </r>
      </text>
    </comment>
    <comment ref="B73" authorId="0" shapeId="0" xr:uid="{E8F3F389-ADC8-4608-8362-60BB80EBAD29}">
      <text>
        <r>
          <rPr>
            <b/>
            <sz val="9"/>
            <color indexed="81"/>
            <rFont val="Tahoma"/>
            <family val="2"/>
          </rPr>
          <t>Pete Holter:</t>
        </r>
        <r>
          <rPr>
            <sz val="9"/>
            <color indexed="81"/>
            <rFont val="Tahoma"/>
            <family val="2"/>
          </rPr>
          <t xml:space="preserve">
It is assumed that the caliper is readable to 0.01 mm.</t>
        </r>
      </text>
    </comment>
    <comment ref="B74" authorId="10" shapeId="0" xr:uid="{999E6EA2-8266-43CD-AB04-1A9DA4493858}">
      <text>
        <t>[Threaded comment]
Your version of Excel allows you to read this threaded comment; however, any edits to it will get removed if the file is opened in a newer version of Excel. Learn more: https://go.microsoft.com/fwlink/?linkid=870924
Comment:
    Section A1.3.3: "Points—The 152H hydrometer should read 0.0 +/- 1 g/L and 1.000 +/- 0.001 specific gravity for the 151H hydrometer at the bottom of the meniscus when placed in distilled water that is free of gas bubbles at the calibration temperature of the hydrometers."</t>
      </text>
    </comment>
    <comment ref="B76" authorId="11" shapeId="0" xr:uid="{506246E9-97F5-4C9D-AC1E-2E4D2663ADC2}">
      <text>
        <t>[Threaded comment]
Your version of Excel allows you to read this threaded comment; however, any edits to it will get removed if the file is opened in a newer version of Excel. Learn more: https://go.microsoft.com/fwlink/?linkid=870924
Comment:
    Section A1.3.3: "At temperatures other than the calibration temperature of the hydrometer, the required reading shall be adjusted..."</t>
      </text>
    </comment>
    <comment ref="C76" authorId="0" shapeId="0" xr:uid="{3377EAF9-2520-4176-A85C-FB918AF0C1ED}">
      <text>
        <r>
          <rPr>
            <b/>
            <sz val="9"/>
            <color indexed="81"/>
            <rFont val="Tahoma"/>
            <family val="2"/>
          </rPr>
          <t>Pete Holter:</t>
        </r>
        <r>
          <rPr>
            <sz val="9"/>
            <color indexed="81"/>
            <rFont val="Tahoma"/>
            <family val="2"/>
          </rPr>
          <t xml:space="preserve">
Temperatures above 40 are treated as Fahrenheit.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<sst xmlns="http://schemas.openxmlformats.org/spreadsheetml/2006/main" count="372" uniqueCount="232">
  <si>
    <t>Vhb</t>
  </si>
  <si>
    <t>hr1</t>
  </si>
  <si>
    <t>hr2</t>
  </si>
  <si>
    <t>Ac</t>
  </si>
  <si>
    <t>Cm</t>
  </si>
  <si>
    <t>r1</t>
  </si>
  <si>
    <t>r2</t>
  </si>
  <si>
    <t>g</t>
  </si>
  <si>
    <t>Vsp</t>
  </si>
  <si>
    <t>%</t>
  </si>
  <si>
    <t>Mass Percent Finer</t>
  </si>
  <si>
    <t>Hydrometer Capacity:</t>
  </si>
  <si>
    <t>Estimated Water Content, Nearest 1 %:</t>
  </si>
  <si>
    <t>Is there enough material for a water content specimen?</t>
  </si>
  <si>
    <t>Water Content Determination</t>
  </si>
  <si>
    <t>Mass of Dispersant (MDisp), Nearest 0.01 g:</t>
  </si>
  <si>
    <t>Moist Mass of Sedimentation Specimen (Mm), Nearest 0.01 g :</t>
  </si>
  <si>
    <t>Water Content (Wc), Nearest 0.1 %:</t>
  </si>
  <si>
    <t>Mass of Moist Mass Specimen Container, 0.01 g:</t>
  </si>
  <si>
    <t>Mass of Dry Mass Specimen Container, 0.01 g:</t>
  </si>
  <si>
    <t>Mass of Container and Oven Dry Specimen, 0.01 g:</t>
  </si>
  <si>
    <t>Mass of Container and Moist Specimen, 0.01 g:</t>
  </si>
  <si>
    <t>Estimated Moist Mass (Mmest), 1 g:</t>
  </si>
  <si>
    <t xml:space="preserve"> Standard Test Method for Particle-Size Distribution (Gradation) of Fine-Grained Soils Using the Sedimentation (Hydrometer) Analysis</t>
  </si>
  <si>
    <t>How are you determining the Temperature-Density Correction?</t>
  </si>
  <si>
    <t>Temperature-Density Correction</t>
  </si>
  <si>
    <t>Top of Meniscus:</t>
  </si>
  <si>
    <t>Bottom of Meniscus:</t>
  </si>
  <si>
    <t>Hydro-1</t>
  </si>
  <si>
    <t>Hydro-2</t>
  </si>
  <si>
    <t>Hydro-3</t>
  </si>
  <si>
    <t>115 - 142 mm</t>
  </si>
  <si>
    <t>Hcb:</t>
  </si>
  <si>
    <t>HLb:</t>
  </si>
  <si>
    <t>Hb:</t>
  </si>
  <si>
    <t>58 - 71 mm</t>
  </si>
  <si>
    <t>Hs:</t>
  </si>
  <si>
    <t>Trial 1 - Initial Reading:</t>
  </si>
  <si>
    <t>Trial 1 - Final Reading:</t>
  </si>
  <si>
    <t>Trial 2 - Initial Reading:</t>
  </si>
  <si>
    <t>Trial 2 - Final Reading:</t>
  </si>
  <si>
    <t>Trial 3 - Initial Reading:</t>
  </si>
  <si>
    <t>Trial 3 - Final Reading:</t>
  </si>
  <si>
    <t>Tolerance and Unit</t>
  </si>
  <si>
    <t>Direct or Indirect</t>
  </si>
  <si>
    <t>Trials within 2 mL or g</t>
  </si>
  <si>
    <t>mm</t>
  </si>
  <si>
    <t>&gt; 15 mm</t>
  </si>
  <si>
    <t>Stem Length Above Scale:</t>
  </si>
  <si>
    <t>Stem Length Below Scale:</t>
  </si>
  <si>
    <t>&gt; 3 mm</t>
  </si>
  <si>
    <t>Standard Deviation</t>
  </si>
  <si>
    <t>°C</t>
  </si>
  <si>
    <t>Reference Point Temperature:</t>
  </si>
  <si>
    <t>Reference Point Hydrometer Reading:</t>
  </si>
  <si>
    <t>15.0 - 30.9 °C</t>
  </si>
  <si>
    <t>Table A1.1</t>
  </si>
  <si>
    <t>Temperature in °C</t>
  </si>
  <si>
    <t>Volume of the Hydrometer Bulb</t>
  </si>
  <si>
    <t>Method of Determination:</t>
  </si>
  <si>
    <t>Data</t>
  </si>
  <si>
    <t>Meniscus Correction</t>
  </si>
  <si>
    <t>Scale Key Reference Point</t>
  </si>
  <si>
    <t>Length Dimensions</t>
  </si>
  <si>
    <t>0.995 for 151H, -5 for 152H</t>
  </si>
  <si>
    <t>1.038 for 151H, 60 for 152H</t>
  </si>
  <si>
    <t>151H: 0.999 - 1.001, 152H: -1 - 1 g/L</t>
  </si>
  <si>
    <t>Scale Key Reference Point:</t>
  </si>
  <si>
    <t>Calibration Relationship</t>
  </si>
  <si>
    <t>dimensionless for 151H and g/L for 152H</t>
  </si>
  <si>
    <t>151H: A, 152H: B</t>
  </si>
  <si>
    <t>Trial 1 - Hydrometer Reading</t>
  </si>
  <si>
    <t>Trial 1 - Temperature</t>
  </si>
  <si>
    <t>Trial 2 - Hydrometer Reading</t>
  </si>
  <si>
    <t>Trial 2 - Temperature</t>
  </si>
  <si>
    <t>Trial 3 - Hydrometer Reading</t>
  </si>
  <si>
    <t>Trial 3 - Temperature</t>
  </si>
  <si>
    <t>Trial 4 - Hydrometer Reading</t>
  </si>
  <si>
    <t>Trial 4 - Temperature</t>
  </si>
  <si>
    <t>Trial 5 - Hydrometer Reading</t>
  </si>
  <si>
    <t>Trial 5 - Temperature</t>
  </si>
  <si>
    <t>1/2 Vhb for cb:</t>
  </si>
  <si>
    <t>mL</t>
  </si>
  <si>
    <t>No. 10 (2.0 mm)</t>
  </si>
  <si>
    <t>Project Identification:</t>
  </si>
  <si>
    <t>Boring Number:</t>
  </si>
  <si>
    <t>Sample Number:</t>
  </si>
  <si>
    <t>Depth:</t>
  </si>
  <si>
    <t>Test Number:</t>
  </si>
  <si>
    <t>Test Start Date:</t>
  </si>
  <si>
    <t>Test End Date:</t>
  </si>
  <si>
    <t>Name of Technician:</t>
  </si>
  <si>
    <t>Measured</t>
  </si>
  <si>
    <t>Description and Classification of Soil:</t>
  </si>
  <si>
    <t>Prior Testing Performed on the Specimen:</t>
  </si>
  <si>
    <t>Equipment IDs</t>
  </si>
  <si>
    <t>Sedimentation Cylinder:</t>
  </si>
  <si>
    <t>Thermometric Device:</t>
  </si>
  <si>
    <t>Wet Washing Sieve:</t>
  </si>
  <si>
    <t>Hydrometer Type:</t>
  </si>
  <si>
    <t>Hydrometer:</t>
  </si>
  <si>
    <t>Any Problems Encountered:</t>
  </si>
  <si>
    <t>Oven:</t>
  </si>
  <si>
    <t>Time Measuring Device:</t>
  </si>
  <si>
    <t>Soil-Suspension Oven Drying Container:</t>
  </si>
  <si>
    <t>Control Cylinder (if used):</t>
  </si>
  <si>
    <t>Date of Sampling:</t>
  </si>
  <si>
    <t>Name of Field Technician:</t>
  </si>
  <si>
    <t>Project Information and Field Data</t>
  </si>
  <si>
    <t>Date Sample Was Received:</t>
  </si>
  <si>
    <t>Description of Any Material Excluded:</t>
  </si>
  <si>
    <t>Sample Preparation</t>
  </si>
  <si>
    <t>Sieve Designation</t>
  </si>
  <si>
    <t>Table 1 Mimimum Dry Mass Requirements</t>
  </si>
  <si>
    <t>Maximum Particle Size of Material (99% or more passing)</t>
  </si>
  <si>
    <t>6 in.</t>
  </si>
  <si>
    <t>3 in.</t>
  </si>
  <si>
    <t>1 in.</t>
  </si>
  <si>
    <t>3⁄4 in.</t>
  </si>
  <si>
    <t>3⁄8 in.</t>
  </si>
  <si>
    <t>No. 10</t>
  </si>
  <si>
    <t>Particle Size, mm</t>
  </si>
  <si>
    <t>99% of the Sample Passes the Following Sieve:</t>
  </si>
  <si>
    <t>Sample</t>
  </si>
  <si>
    <t>Reduced Sample</t>
  </si>
  <si>
    <t>Mass of Sample:</t>
  </si>
  <si>
    <t>Mass of Reduced Sample:</t>
  </si>
  <si>
    <t>Sedimentation Sample Preparation Method:</t>
  </si>
  <si>
    <t>The Reduced Sample Passes the Following Sieve:</t>
  </si>
  <si>
    <t>Sedimentation Sample</t>
  </si>
  <si>
    <t>Mass of Sedimentation Sample:</t>
  </si>
  <si>
    <t>Air-Dried</t>
  </si>
  <si>
    <t>Separation Sieve:</t>
  </si>
  <si>
    <t>Balance readable to 0.01 g:</t>
  </si>
  <si>
    <t>Minimum Dry Mass</t>
  </si>
  <si>
    <t>Tolerance</t>
  </si>
  <si>
    <t>Cylinder ID:</t>
  </si>
  <si>
    <t>Cyl-1</t>
  </si>
  <si>
    <t>Cyl-2</t>
  </si>
  <si>
    <t>Approximately 457 mm</t>
  </si>
  <si>
    <t>Thermometric Device Resolution:</t>
  </si>
  <si>
    <t>Volume</t>
  </si>
  <si>
    <t>Inside Area</t>
  </si>
  <si>
    <r>
      <t>cm</t>
    </r>
    <r>
      <rPr>
        <vertAlign val="superscript"/>
        <sz val="11"/>
        <color theme="1"/>
        <rFont val="Calibri"/>
        <family val="2"/>
        <scheme val="minor"/>
      </rPr>
      <t>2</t>
    </r>
  </si>
  <si>
    <t>Fill with Required Mass</t>
  </si>
  <si>
    <t>Fill to Calibration Mark</t>
  </si>
  <si>
    <t>Fill with This Much Water:</t>
  </si>
  <si>
    <t>Mass of Water:</t>
  </si>
  <si>
    <t>Remarked at 1000 mL?</t>
  </si>
  <si>
    <t>Required Action:</t>
  </si>
  <si>
    <t>Temperature of Water To Be Added:</t>
  </si>
  <si>
    <t>g/mL</t>
  </si>
  <si>
    <t xml:space="preserve">Density of Water: </t>
  </si>
  <si>
    <t>Volume:</t>
  </si>
  <si>
    <t>Calculated Inside Diameter:</t>
  </si>
  <si>
    <t>Average - Distance to 1000 mL Mark:</t>
  </si>
  <si>
    <t>Measurement 1 - Distance to 1000 mL Mark:</t>
  </si>
  <si>
    <t>Upper</t>
  </si>
  <si>
    <t>Lower</t>
  </si>
  <si>
    <t>Units</t>
  </si>
  <si>
    <t>Yes or No</t>
  </si>
  <si>
    <t>Fill with Required Mass or None</t>
  </si>
  <si>
    <t>15.0 / 59.00</t>
  </si>
  <si>
    <t>30.9 / 87.62</t>
  </si>
  <si>
    <t>°C / °F</t>
  </si>
  <si>
    <t>Area Uniformity</t>
  </si>
  <si>
    <t>Pass or Fail</t>
  </si>
  <si>
    <t>Temperature of Water:</t>
  </si>
  <si>
    <t>Area Uniformity Lower Limit:</t>
  </si>
  <si>
    <t>Area Uniformity:</t>
  </si>
  <si>
    <t>Area Uniformity Upper Limit:</t>
  </si>
  <si>
    <t>Area Uniformity Pass or Fail:</t>
  </si>
  <si>
    <t xml:space="preserve">Temperature (T) Versus Density of Water (ρw) </t>
  </si>
  <si>
    <t>Hydrometer Reading</t>
  </si>
  <si>
    <t>Elapsed Minutes</t>
  </si>
  <si>
    <t>Hydrometer Test Data</t>
  </si>
  <si>
    <t>A/B</t>
  </si>
  <si>
    <t>Temperature 
(°C or °F)</t>
  </si>
  <si>
    <t>Effective Depth (cm)</t>
  </si>
  <si>
    <t>Diameter (mm)</t>
  </si>
  <si>
    <t>Temperature Density Correction Offset</t>
  </si>
  <si>
    <t>No</t>
  </si>
  <si>
    <r>
      <t>mL or cm</t>
    </r>
    <r>
      <rPr>
        <vertAlign val="superscript"/>
        <sz val="11"/>
        <color theme="1"/>
        <rFont val="Calibri"/>
        <family val="2"/>
        <scheme val="minor"/>
      </rPr>
      <t>3</t>
    </r>
  </si>
  <si>
    <t>152H</t>
  </si>
  <si>
    <t>Specific Gravity of the Soil Particles</t>
  </si>
  <si>
    <t>Wash Data and % Passing the No. 200 Sieve</t>
  </si>
  <si>
    <t>Mdd:</t>
  </si>
  <si>
    <t>Md:</t>
  </si>
  <si>
    <t>Mdr:</t>
  </si>
  <si>
    <t>Pp:</t>
  </si>
  <si>
    <t>Preliminary Laboratory Data</t>
  </si>
  <si>
    <t>Hydrometer ID:</t>
  </si>
  <si>
    <t>Other Balance (if needed):</t>
  </si>
  <si>
    <t>Specimen Mixing Container:</t>
  </si>
  <si>
    <t>Water Content Specimen Container:</t>
  </si>
  <si>
    <t>Plus No. 200 Material Drying Container:</t>
  </si>
  <si>
    <t>Estimated Percentage of Material Passing the No. 200 
(75-µm) Sieve, Nearest 1 %:</t>
  </si>
  <si>
    <t>Page 1 of 2</t>
  </si>
  <si>
    <t>Page 2 of 2</t>
  </si>
  <si>
    <t>Template Revision Date:</t>
  </si>
  <si>
    <t>Initial Check</t>
  </si>
  <si>
    <t>Date of Check</t>
  </si>
  <si>
    <t xml:space="preserve">Procedure Used: </t>
  </si>
  <si>
    <t xml:space="preserve">Caliper ID: </t>
  </si>
  <si>
    <t>Thermometer ID:</t>
  </si>
  <si>
    <t>Balance ID:</t>
  </si>
  <si>
    <t>12 Month Checks</t>
  </si>
  <si>
    <t>Hydrometer Checks</t>
  </si>
  <si>
    <t>Cylinder Checks</t>
  </si>
  <si>
    <t>Property</t>
  </si>
  <si>
    <t>Height of Cylinder:</t>
  </si>
  <si>
    <t>Volume within Tolerance?:</t>
  </si>
  <si>
    <t>Page 1 of 1</t>
  </si>
  <si>
    <t>Other Balance Resolution (g):</t>
  </si>
  <si>
    <t>Soil Specific Gravity (Gs):</t>
  </si>
  <si>
    <t>n/a</t>
  </si>
  <si>
    <t>Sedimentation (Hydrometer) Specimen and Sodium Hexametaphosphate</t>
  </si>
  <si>
    <t>HL:</t>
  </si>
  <si>
    <t>275- 285 mm</t>
  </si>
  <si>
    <t>243 - 247 mm</t>
  </si>
  <si>
    <t>Dm:</t>
  </si>
  <si>
    <t>29 - 32 mm</t>
  </si>
  <si>
    <t>81 - 85 mm</t>
  </si>
  <si>
    <t>50 - 72 mL/cm3</t>
  </si>
  <si>
    <t>D7928-21 Annex A1</t>
  </si>
  <si>
    <t>D7928-21</t>
  </si>
  <si>
    <t>Estimated Maximum Moist Mass</t>
  </si>
  <si>
    <t>Companion Measurements</t>
  </si>
  <si>
    <t>Hydrometer</t>
  </si>
  <si>
    <t>Temp (°C or °F)</t>
  </si>
  <si>
    <t>Water Density (ρw) in g/ml</t>
  </si>
  <si>
    <t>Trials within 2 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</si>
</sst>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0"/>
    <numFmt numFmtId="166" formatCode="0.00000"/>
    <numFmt numFmtId="167" formatCode=";;;"/>
    <numFmt numFmtId="168" formatCode="0.000"/>
  </numFmts>
  <fonts count="16" x14ac:knownFonts="1">
    <font>
      <sz val="11"/>
      <color theme="1"/>
      <name val="Calibri"/>
      <family val="2"/>
      <scheme val="minor"/>
    </font>
    <font>
      <b/>
      <sz val="11"/>
      <color theme="1"/>
      <name val="Calibri"/>
      <family val="2"/>
      <scheme val="minor"/>
    </font>
    <font>
      <sz val="11"/>
      <color theme="1"/>
      <name val="Calibri"/>
      <family val="2"/>
      <scheme val="minor"/>
    </font>
    <font>
      <sz val="8"/>
      <color rgb="FF000000"/>
      <name val="Segoe UI"/>
      <family val="2"/>
    </font>
    <font>
      <b/>
      <sz val="16"/>
      <color theme="1"/>
      <name val="Calibri"/>
      <family val="2"/>
      <scheme val="minor"/>
    </font>
    <font>
      <b/>
      <sz val="24"/>
      <color theme="1"/>
      <name val="Calibri"/>
      <family val="2"/>
      <scheme val="minor"/>
    </font>
    <font>
      <sz val="9"/>
      <color indexed="81"/>
      <name val="Tahoma"/>
      <family val="2"/>
    </font>
    <font>
      <b/>
      <sz val="9"/>
      <color indexed="81"/>
      <name val="Tahoma"/>
      <family val="2"/>
    </font>
    <font>
      <b/>
      <sz val="12"/>
      <color theme="1"/>
      <name val="Calibri"/>
      <family val="2"/>
      <scheme val="minor"/>
    </font>
    <font>
      <sz val="12"/>
      <color theme="1"/>
      <name val="Times New Roman"/>
      <family val="1"/>
    </font>
    <font>
      <sz val="11"/>
      <color rgb="FF000000"/>
      <name val="Calibri"/>
      <family val="2"/>
      <scheme val="minor"/>
    </font>
    <font>
      <sz val="10.5"/>
      <color rgb="FF000000"/>
      <name val="Arial"/>
      <family val="2"/>
    </font>
    <font>
      <vertAlign val="superscript"/>
      <sz val="11"/>
      <color theme="1"/>
      <name val="Calibri"/>
      <family val="2"/>
      <scheme val="minor"/>
    </font>
    <font>
      <i/>
      <sz val="11"/>
      <color theme="1"/>
      <name val="Calibri"/>
      <family val="2"/>
      <scheme val="minor"/>
    </font>
    <font>
      <b/>
      <sz val="18"/>
      <color theme="1"/>
      <name val="Calibri"/>
      <family val="2"/>
      <scheme val="minor"/>
    </font>
    <font>
      <sz val="11"/>
      <color rgb="FF000000"/>
      <name val="Calibri"/>
      <family val="2"/>
    </font>
  </fonts>
  <fills count="2">
    <fill>
      <patternFill patternType="none"/>
    </fill>
    <fill>
      <patternFill patternType="gray125"/>
    </fill>
  </fills>
  <borders count="85">
    <border>
      <left/>
      <right/>
      <top/>
      <bottom/>
      <diagonal/>
    </border>
    <border>
      <left/>
      <right/>
      <top style="thin">
        <color auto="1"/>
      </top>
      <bottom/>
      <diagonal/>
    </border>
    <border>
      <left/>
      <right/>
      <top/>
      <bottom style="thin">
        <color auto="1"/>
      </bottom>
      <diagonal/>
    </border>
    <border>
      <left/>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style="medium">
        <color auto="1"/>
      </top>
      <bottom/>
      <diagonal/>
    </border>
    <border>
      <left/>
      <right style="thin">
        <color auto="1"/>
      </right>
      <top style="medium">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medium">
        <color auto="1"/>
      </right>
      <top style="medium">
        <color auto="1"/>
      </top>
      <bottom/>
      <diagonal/>
    </border>
    <border>
      <left style="thin">
        <color auto="1"/>
      </left>
      <right/>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bottom/>
      <diagonal/>
    </border>
    <border>
      <left/>
      <right style="thin">
        <color auto="1"/>
      </right>
      <top/>
      <bottom/>
      <diagonal/>
    </border>
    <border>
      <left/>
      <right style="thin">
        <color auto="1"/>
      </right>
      <top/>
      <bottom style="medium">
        <color auto="1"/>
      </bottom>
      <diagonal/>
    </border>
    <border>
      <left/>
      <right/>
      <top style="thin">
        <color auto="1"/>
      </top>
      <bottom style="medium">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ck">
        <color auto="1"/>
      </left>
      <right/>
      <top style="thin">
        <color auto="1"/>
      </top>
      <bottom/>
      <diagonal/>
    </border>
    <border>
      <left style="thin">
        <color auto="1"/>
      </left>
      <right style="thick">
        <color auto="1"/>
      </right>
      <top style="thin">
        <color auto="1"/>
      </top>
      <bottom style="thin">
        <color auto="1"/>
      </bottom>
      <diagonal/>
    </border>
    <border>
      <left style="thick">
        <color auto="1"/>
      </left>
      <right/>
      <top/>
      <bottom/>
      <diagonal/>
    </border>
    <border>
      <left style="thin">
        <color auto="1"/>
      </left>
      <right style="thick">
        <color auto="1"/>
      </right>
      <top style="thin">
        <color auto="1"/>
      </top>
      <bottom/>
      <diagonal/>
    </border>
    <border>
      <left style="thin">
        <color auto="1"/>
      </left>
      <right style="thick">
        <color auto="1"/>
      </right>
      <top/>
      <bottom/>
      <diagonal/>
    </border>
    <border>
      <left style="thick">
        <color auto="1"/>
      </left>
      <right/>
      <top/>
      <bottom style="thin">
        <color auto="1"/>
      </bottom>
      <diagonal/>
    </border>
    <border>
      <left style="thin">
        <color auto="1"/>
      </left>
      <right style="thick">
        <color auto="1"/>
      </right>
      <top/>
      <bottom style="thin">
        <color auto="1"/>
      </bottom>
      <diagonal/>
    </border>
    <border>
      <left style="thick">
        <color auto="1"/>
      </left>
      <right style="thin">
        <color auto="1"/>
      </right>
      <top style="thin">
        <color auto="1"/>
      </top>
      <bottom style="thin">
        <color auto="1"/>
      </bottom>
      <diagonal/>
    </border>
    <border>
      <left style="thick">
        <color auto="1"/>
      </left>
      <right/>
      <top/>
      <bottom style="medium">
        <color auto="1"/>
      </bottom>
      <diagonal/>
    </border>
    <border>
      <left style="thin">
        <color auto="1"/>
      </left>
      <right style="thick">
        <color auto="1"/>
      </right>
      <top/>
      <bottom style="medium">
        <color auto="1"/>
      </bottom>
      <diagonal/>
    </border>
    <border>
      <left style="thick">
        <color auto="1"/>
      </left>
      <right/>
      <top style="medium">
        <color auto="1"/>
      </top>
      <bottom/>
      <diagonal/>
    </border>
    <border>
      <left/>
      <right style="thick">
        <color auto="1"/>
      </right>
      <top style="medium">
        <color auto="1"/>
      </top>
      <bottom/>
      <diagonal/>
    </border>
    <border>
      <left style="thin">
        <color auto="1"/>
      </left>
      <right style="thin">
        <color auto="1"/>
      </right>
      <top/>
      <bottom style="thick">
        <color auto="1"/>
      </bottom>
      <diagonal/>
    </border>
    <border>
      <left style="thin">
        <color auto="1"/>
      </left>
      <right style="thick">
        <color auto="1"/>
      </right>
      <top/>
      <bottom style="thick">
        <color auto="1"/>
      </bottom>
      <diagonal/>
    </border>
    <border>
      <left style="thick">
        <color auto="1"/>
      </left>
      <right/>
      <top style="medium">
        <color auto="1"/>
      </top>
      <bottom style="thin">
        <color auto="1"/>
      </bottom>
      <diagonal/>
    </border>
    <border>
      <left/>
      <right style="thick">
        <color auto="1"/>
      </right>
      <top style="medium">
        <color auto="1"/>
      </top>
      <bottom style="thin">
        <color auto="1"/>
      </bottom>
      <diagonal/>
    </border>
    <border>
      <left style="thin">
        <color auto="1"/>
      </left>
      <right style="thin">
        <color auto="1"/>
      </right>
      <top style="medium">
        <color auto="1"/>
      </top>
      <bottom/>
      <diagonal/>
    </border>
    <border>
      <left style="thick">
        <color auto="1"/>
      </left>
      <right style="thin">
        <color auto="1"/>
      </right>
      <top/>
      <bottom style="thin">
        <color auto="1"/>
      </bottom>
      <diagonal/>
    </border>
    <border>
      <left style="thick">
        <color auto="1"/>
      </left>
      <right/>
      <top style="thick">
        <color auto="1"/>
      </top>
      <bottom style="thin">
        <color auto="1"/>
      </bottom>
      <diagonal/>
    </border>
    <border>
      <left/>
      <right/>
      <top style="thick">
        <color auto="1"/>
      </top>
      <bottom style="thin">
        <color auto="1"/>
      </bottom>
      <diagonal/>
    </border>
    <border>
      <left/>
      <right style="thick">
        <color auto="1"/>
      </right>
      <top style="thick">
        <color auto="1"/>
      </top>
      <bottom style="thin">
        <color auto="1"/>
      </bottom>
      <diagonal/>
    </border>
    <border>
      <left style="thick">
        <color auto="1"/>
      </left>
      <right style="thin">
        <color auto="1"/>
      </right>
      <top/>
      <bottom/>
      <diagonal/>
    </border>
    <border>
      <left style="thick">
        <color auto="1"/>
      </left>
      <right style="thin">
        <color auto="1"/>
      </right>
      <top/>
      <bottom style="thick">
        <color auto="1"/>
      </bottom>
      <diagonal/>
    </border>
    <border>
      <left style="thick">
        <color auto="1"/>
      </left>
      <right style="thin">
        <color auto="1"/>
      </right>
      <top style="medium">
        <color auto="1"/>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ck">
        <color auto="1"/>
      </left>
      <right style="thin">
        <color auto="1"/>
      </right>
      <top/>
      <bottom style="medium">
        <color auto="1"/>
      </bottom>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thick">
        <color auto="1"/>
      </right>
      <top/>
      <bottom style="medium">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diagonal/>
    </border>
    <border>
      <left/>
      <right style="thick">
        <color auto="1"/>
      </right>
      <top/>
      <bottom/>
      <diagonal/>
    </border>
    <border>
      <left/>
      <right style="thick">
        <color auto="1"/>
      </right>
      <top/>
      <bottom style="thin">
        <color auto="1"/>
      </bottom>
      <diagonal/>
    </border>
    <border>
      <left style="thick">
        <color auto="1"/>
      </left>
      <right/>
      <top style="thin">
        <color auto="1"/>
      </top>
      <bottom style="thin">
        <color auto="1"/>
      </bottom>
      <diagonal/>
    </border>
    <border>
      <left/>
      <right style="thick">
        <color auto="1"/>
      </right>
      <top style="thin">
        <color auto="1"/>
      </top>
      <bottom style="thin">
        <color auto="1"/>
      </bottom>
      <diagonal/>
    </border>
    <border>
      <left style="thick">
        <color auto="1"/>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medium">
        <color auto="1"/>
      </right>
      <top style="medium">
        <color auto="1"/>
      </top>
      <bottom/>
      <diagonal/>
    </border>
    <border>
      <left style="thick">
        <color auto="1"/>
      </left>
      <right style="medium">
        <color auto="1"/>
      </right>
      <top/>
      <bottom style="medium">
        <color auto="1"/>
      </bottom>
      <diagonal/>
    </border>
    <border>
      <left/>
      <right style="thin">
        <color auto="1"/>
      </right>
      <top style="thin">
        <color auto="1"/>
      </top>
      <bottom/>
      <diagonal/>
    </border>
    <border>
      <left/>
      <right style="thin">
        <color auto="1"/>
      </right>
      <top/>
      <bottom style="thin">
        <color auto="1"/>
      </bottom>
      <diagonal/>
    </border>
    <border>
      <left style="thick">
        <color auto="1"/>
      </left>
      <right style="medium">
        <color auto="1"/>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s>
  <cellStyleXfs count="1">
    <xf numFmtId="0" fontId="0" fillId="0" borderId="0"/>
  </cellStyleXfs>
  <cellXfs count="351">
    <xf numFmtId="0" fontId="0" fillId="0" borderId="0" xfId="0"/>
    <xf numFmtId="0" fontId="0" fillId="0" borderId="0" xfId="0" applyAlignment="1">
      <alignment horizontal="right"/>
    </xf>
    <xf numFmtId="0" fontId="2" fillId="0" borderId="0" xfId="0" applyFont="1"/>
    <xf numFmtId="2" fontId="2" fillId="0" borderId="0" xfId="0" applyNumberFormat="1" applyFont="1"/>
    <xf numFmtId="165" fontId="0" fillId="0" borderId="0" xfId="0" applyNumberFormat="1"/>
    <xf numFmtId="166" fontId="0" fillId="0" borderId="0" xfId="0" applyNumberFormat="1"/>
    <xf numFmtId="164" fontId="0" fillId="0" borderId="0" xfId="0" applyNumberFormat="1"/>
    <xf numFmtId="0" fontId="0" fillId="0" borderId="11" xfId="0" applyBorder="1"/>
    <xf numFmtId="0" fontId="0" fillId="0" borderId="13" xfId="0" applyBorder="1"/>
    <xf numFmtId="0" fontId="0" fillId="0" borderId="14" xfId="0" applyBorder="1"/>
    <xf numFmtId="164" fontId="0" fillId="0" borderId="13" xfId="0" applyNumberFormat="1" applyBorder="1"/>
    <xf numFmtId="0" fontId="0" fillId="0" borderId="3" xfId="0" applyBorder="1" applyProtection="1">
      <protection locked="0"/>
    </xf>
    <xf numFmtId="2" fontId="0" fillId="0" borderId="0" xfId="0" applyNumberFormat="1" applyProtection="1">
      <protection locked="0"/>
    </xf>
    <xf numFmtId="2" fontId="0" fillId="0" borderId="3" xfId="0" applyNumberFormat="1" applyBorder="1" applyProtection="1">
      <protection locked="0"/>
    </xf>
    <xf numFmtId="0" fontId="1" fillId="0" borderId="0" xfId="0" applyFont="1" applyAlignment="1">
      <alignment horizontal="right"/>
    </xf>
    <xf numFmtId="0" fontId="0" fillId="0" borderId="0" xfId="0" applyAlignment="1">
      <alignment horizontal="left"/>
    </xf>
    <xf numFmtId="0" fontId="1" fillId="0" borderId="0" xfId="0" applyFont="1"/>
    <xf numFmtId="164" fontId="0" fillId="0" borderId="8" xfId="0" applyNumberFormat="1" applyBorder="1"/>
    <xf numFmtId="0" fontId="0" fillId="0" borderId="8" xfId="0" applyBorder="1"/>
    <xf numFmtId="0" fontId="1" fillId="0" borderId="17" xfId="0" applyFont="1" applyBorder="1"/>
    <xf numFmtId="0" fontId="1" fillId="0" borderId="18" xfId="0" applyFont="1" applyBorder="1" applyAlignment="1">
      <alignment horizontal="right"/>
    </xf>
    <xf numFmtId="0" fontId="0" fillId="0" borderId="0" xfId="0" applyAlignment="1">
      <alignment vertical="center"/>
    </xf>
    <xf numFmtId="0" fontId="0" fillId="0" borderId="7" xfId="0" applyBorder="1"/>
    <xf numFmtId="0" fontId="0" fillId="0" borderId="19" xfId="0" applyBorder="1"/>
    <xf numFmtId="0" fontId="0" fillId="0" borderId="10" xfId="0" applyBorder="1"/>
    <xf numFmtId="0" fontId="0" fillId="0" borderId="12" xfId="0" applyBorder="1"/>
    <xf numFmtId="0" fontId="9" fillId="0" borderId="0" xfId="0" applyFont="1"/>
    <xf numFmtId="0" fontId="0" fillId="0" borderId="0" xfId="0" quotePrefix="1"/>
    <xf numFmtId="0" fontId="11" fillId="0" borderId="0" xfId="0" applyFont="1" applyAlignment="1">
      <alignment vertical="center"/>
    </xf>
    <xf numFmtId="0" fontId="2" fillId="0" borderId="0" xfId="0" quotePrefix="1" applyFont="1"/>
    <xf numFmtId="0" fontId="2" fillId="0" borderId="0" xfId="0" applyFont="1" applyAlignment="1">
      <alignment horizontal="center" vertical="center" wrapText="1"/>
    </xf>
    <xf numFmtId="164" fontId="0" fillId="0" borderId="7" xfId="0" applyNumberFormat="1" applyBorder="1"/>
    <xf numFmtId="166" fontId="0" fillId="0" borderId="19" xfId="0" applyNumberFormat="1" applyBorder="1"/>
    <xf numFmtId="164" fontId="0" fillId="0" borderId="10" xfId="0" applyNumberFormat="1" applyBorder="1"/>
    <xf numFmtId="166" fontId="0" fillId="0" borderId="11" xfId="0" applyNumberFormat="1" applyBorder="1"/>
    <xf numFmtId="164" fontId="0" fillId="0" borderId="12" xfId="0" applyNumberFormat="1" applyBorder="1"/>
    <xf numFmtId="166" fontId="0" fillId="0" borderId="14" xfId="0" applyNumberFormat="1" applyBorder="1"/>
    <xf numFmtId="0" fontId="0" fillId="0" borderId="21" xfId="0" applyBorder="1" applyAlignment="1">
      <alignment horizontal="right"/>
    </xf>
    <xf numFmtId="0" fontId="0" fillId="0" borderId="22" xfId="0" applyBorder="1" applyAlignment="1">
      <alignment horizontal="right"/>
    </xf>
    <xf numFmtId="0" fontId="13" fillId="0" borderId="0" xfId="0" applyFont="1"/>
    <xf numFmtId="2" fontId="0" fillId="0" borderId="8" xfId="0" applyNumberFormat="1" applyBorder="1" applyAlignment="1">
      <alignment horizontal="right"/>
    </xf>
    <xf numFmtId="2" fontId="0" fillId="0" borderId="0" xfId="0" applyNumberFormat="1" applyAlignment="1">
      <alignment horizontal="right"/>
    </xf>
    <xf numFmtId="2" fontId="0" fillId="0" borderId="13" xfId="0" applyNumberFormat="1" applyBorder="1" applyAlignment="1">
      <alignment horizontal="right"/>
    </xf>
    <xf numFmtId="0" fontId="0" fillId="0" borderId="1" xfId="0" applyBorder="1"/>
    <xf numFmtId="165" fontId="0" fillId="0" borderId="0" xfId="0" applyNumberFormat="1" applyAlignment="1">
      <alignment horizontal="right"/>
    </xf>
    <xf numFmtId="164" fontId="0" fillId="0" borderId="0" xfId="0" applyNumberFormat="1" applyAlignment="1">
      <alignment horizontal="left"/>
    </xf>
    <xf numFmtId="164" fontId="0" fillId="0" borderId="13" xfId="0" applyNumberFormat="1" applyBorder="1" applyAlignment="1">
      <alignment horizontal="left"/>
    </xf>
    <xf numFmtId="165" fontId="0" fillId="0" borderId="13" xfId="0" applyNumberFormat="1" applyBorder="1" applyAlignment="1">
      <alignment horizontal="right"/>
    </xf>
    <xf numFmtId="0" fontId="0" fillId="0" borderId="13" xfId="0" applyBorder="1" applyAlignment="1">
      <alignment horizontal="right"/>
    </xf>
    <xf numFmtId="0" fontId="0" fillId="0" borderId="2" xfId="0" applyBorder="1" applyProtection="1">
      <protection locked="0"/>
    </xf>
    <xf numFmtId="2" fontId="0" fillId="0" borderId="2" xfId="0" applyNumberFormat="1" applyBorder="1" applyProtection="1">
      <protection locked="0"/>
    </xf>
    <xf numFmtId="0" fontId="0" fillId="0" borderId="0" xfId="0" quotePrefix="1" applyAlignment="1">
      <alignment horizontal="right"/>
    </xf>
    <xf numFmtId="0" fontId="0" fillId="0" borderId="35" xfId="0" applyBorder="1"/>
    <xf numFmtId="2" fontId="0" fillId="0" borderId="35" xfId="0" applyNumberFormat="1" applyBorder="1" applyAlignment="1">
      <alignment horizontal="right"/>
    </xf>
    <xf numFmtId="1" fontId="0" fillId="0" borderId="35" xfId="0" applyNumberFormat="1" applyBorder="1"/>
    <xf numFmtId="164" fontId="0" fillId="0" borderId="35" xfId="0" applyNumberFormat="1" applyBorder="1"/>
    <xf numFmtId="0" fontId="1" fillId="0" borderId="34" xfId="0" applyFont="1" applyBorder="1" applyAlignment="1">
      <alignment horizontal="right"/>
    </xf>
    <xf numFmtId="0" fontId="1" fillId="0" borderId="34" xfId="0" quotePrefix="1" applyFont="1" applyBorder="1" applyAlignment="1">
      <alignment horizontal="right"/>
    </xf>
    <xf numFmtId="0" fontId="0" fillId="0" borderId="34" xfId="0" applyBorder="1"/>
    <xf numFmtId="0" fontId="1" fillId="0" borderId="3" xfId="0" applyFont="1" applyBorder="1" applyAlignment="1">
      <alignment horizontal="right"/>
    </xf>
    <xf numFmtId="14" fontId="0" fillId="0" borderId="2" xfId="0" applyNumberFormat="1" applyBorder="1" applyAlignment="1">
      <alignment horizontal="left"/>
    </xf>
    <xf numFmtId="0" fontId="0" fillId="0" borderId="43" xfId="0" applyBorder="1"/>
    <xf numFmtId="0" fontId="1" fillId="0" borderId="46" xfId="0" applyFont="1" applyBorder="1" applyAlignment="1">
      <alignment horizontal="right"/>
    </xf>
    <xf numFmtId="0" fontId="1" fillId="0" borderId="40" xfId="0" applyFont="1" applyBorder="1" applyAlignment="1">
      <alignment horizontal="right"/>
    </xf>
    <xf numFmtId="0" fontId="0" fillId="0" borderId="41" xfId="0" applyBorder="1" applyAlignment="1">
      <alignment horizontal="right"/>
    </xf>
    <xf numFmtId="2" fontId="0" fillId="0" borderId="43" xfId="0" applyNumberFormat="1" applyBorder="1"/>
    <xf numFmtId="2" fontId="0" fillId="0" borderId="40" xfId="0" applyNumberFormat="1" applyBorder="1"/>
    <xf numFmtId="0" fontId="0" fillId="0" borderId="47" xfId="0" applyBorder="1" applyAlignment="1">
      <alignment horizontal="right"/>
    </xf>
    <xf numFmtId="0" fontId="0" fillId="0" borderId="30" xfId="0" applyBorder="1" applyAlignment="1">
      <alignment horizontal="right"/>
    </xf>
    <xf numFmtId="2" fontId="0" fillId="0" borderId="0" xfId="0" applyNumberFormat="1"/>
    <xf numFmtId="0" fontId="0" fillId="0" borderId="8" xfId="0" applyBorder="1" applyAlignment="1">
      <alignment horizontal="right"/>
    </xf>
    <xf numFmtId="2" fontId="0" fillId="0" borderId="8" xfId="0" applyNumberFormat="1" applyBorder="1"/>
    <xf numFmtId="2" fontId="0" fillId="0" borderId="13" xfId="0" applyNumberFormat="1" applyBorder="1"/>
    <xf numFmtId="0" fontId="2" fillId="0" borderId="31" xfId="0" applyFont="1" applyBorder="1"/>
    <xf numFmtId="0" fontId="2" fillId="0" borderId="1" xfId="0" applyFont="1" applyBorder="1" applyAlignment="1">
      <alignment horizontal="right"/>
    </xf>
    <xf numFmtId="0" fontId="1" fillId="0" borderId="60" xfId="0" applyFont="1" applyBorder="1"/>
    <xf numFmtId="0" fontId="1" fillId="0" borderId="46" xfId="0" applyFont="1" applyBorder="1"/>
    <xf numFmtId="0" fontId="2" fillId="0" borderId="60" xfId="0" applyFont="1" applyBorder="1" applyAlignment="1">
      <alignment horizontal="right"/>
    </xf>
    <xf numFmtId="0" fontId="1" fillId="0" borderId="60" xfId="0" applyFont="1" applyBorder="1" applyAlignment="1">
      <alignment horizontal="center"/>
    </xf>
    <xf numFmtId="0" fontId="1" fillId="0" borderId="46" xfId="0" applyFont="1" applyBorder="1" applyAlignment="1">
      <alignment horizontal="left"/>
    </xf>
    <xf numFmtId="0" fontId="2" fillId="0" borderId="8" xfId="0" applyFont="1" applyBorder="1"/>
    <xf numFmtId="0" fontId="2" fillId="0" borderId="50" xfId="0" applyFont="1" applyBorder="1"/>
    <xf numFmtId="0" fontId="1" fillId="0" borderId="66" xfId="0" applyFont="1" applyBorder="1" applyAlignment="1">
      <alignment horizontal="right"/>
    </xf>
    <xf numFmtId="0" fontId="1" fillId="0" borderId="26" xfId="0" applyFont="1" applyBorder="1" applyAlignment="1">
      <alignment horizontal="right"/>
    </xf>
    <xf numFmtId="0" fontId="1" fillId="0" borderId="67" xfId="0" applyFont="1" applyBorder="1" applyAlignment="1">
      <alignment horizontal="right"/>
    </xf>
    <xf numFmtId="0" fontId="1" fillId="0" borderId="68" xfId="0" applyFont="1" applyBorder="1" applyAlignment="1">
      <alignment horizontal="right"/>
    </xf>
    <xf numFmtId="0" fontId="2" fillId="0" borderId="38" xfId="0" applyFont="1" applyBorder="1" applyAlignment="1">
      <alignment horizontal="right"/>
    </xf>
    <xf numFmtId="0" fontId="2" fillId="0" borderId="35" xfId="0" applyFont="1" applyBorder="1" applyAlignment="1">
      <alignment horizontal="right"/>
    </xf>
    <xf numFmtId="0" fontId="10" fillId="0" borderId="35" xfId="0" applyFont="1" applyBorder="1" applyAlignment="1">
      <alignment horizontal="right"/>
    </xf>
    <xf numFmtId="0" fontId="2" fillId="0" borderId="35" xfId="0" applyFont="1" applyBorder="1"/>
    <xf numFmtId="0" fontId="2" fillId="0" borderId="43" xfId="0" applyFont="1" applyBorder="1"/>
    <xf numFmtId="164" fontId="2" fillId="0" borderId="35" xfId="0" applyNumberFormat="1" applyFont="1" applyBorder="1" applyAlignment="1">
      <alignment horizontal="right"/>
    </xf>
    <xf numFmtId="164" fontId="2" fillId="0" borderId="43" xfId="0" applyNumberFormat="1" applyFont="1" applyBorder="1" applyAlignment="1">
      <alignment horizontal="right"/>
    </xf>
    <xf numFmtId="0" fontId="2" fillId="0" borderId="43" xfId="0" applyFont="1" applyBorder="1" applyAlignment="1">
      <alignment horizontal="right"/>
    </xf>
    <xf numFmtId="164" fontId="2" fillId="0" borderId="37" xfId="0" applyNumberFormat="1" applyFont="1" applyBorder="1" applyAlignment="1">
      <alignment horizontal="right"/>
    </xf>
    <xf numFmtId="164" fontId="2" fillId="0" borderId="45" xfId="0" applyNumberFormat="1" applyFont="1" applyBorder="1" applyAlignment="1">
      <alignment horizontal="right"/>
    </xf>
    <xf numFmtId="1" fontId="2" fillId="0" borderId="35" xfId="0" applyNumberFormat="1" applyFont="1" applyBorder="1" applyAlignment="1">
      <alignment horizontal="right"/>
    </xf>
    <xf numFmtId="1" fontId="2" fillId="0" borderId="43" xfId="0" applyNumberFormat="1" applyFont="1" applyBorder="1" applyAlignment="1">
      <alignment horizontal="right"/>
    </xf>
    <xf numFmtId="0" fontId="2" fillId="0" borderId="51" xfId="0" applyFont="1" applyBorder="1" applyAlignment="1">
      <alignment horizontal="right"/>
    </xf>
    <xf numFmtId="0" fontId="2" fillId="0" borderId="52" xfId="0" applyFont="1" applyBorder="1" applyAlignment="1">
      <alignment horizontal="right"/>
    </xf>
    <xf numFmtId="0" fontId="2" fillId="0" borderId="33" xfId="0" applyFont="1" applyBorder="1" applyAlignment="1">
      <alignment horizontal="right"/>
    </xf>
    <xf numFmtId="14" fontId="0" fillId="0" borderId="0" xfId="0" applyNumberFormat="1"/>
    <xf numFmtId="14" fontId="0" fillId="0" borderId="0" xfId="0" applyNumberFormat="1" applyAlignment="1">
      <alignment horizontal="right"/>
    </xf>
    <xf numFmtId="2" fontId="0" fillId="0" borderId="0" xfId="0" applyNumberFormat="1" applyAlignment="1" applyProtection="1">
      <alignment horizontal="right"/>
      <protection locked="0"/>
    </xf>
    <xf numFmtId="0" fontId="0" fillId="0" borderId="35" xfId="0" applyBorder="1" applyAlignment="1" applyProtection="1">
      <alignment horizontal="right"/>
      <protection locked="0"/>
    </xf>
    <xf numFmtId="0" fontId="0" fillId="0" borderId="43" xfId="0" applyBorder="1" applyAlignment="1" applyProtection="1">
      <alignment horizontal="right"/>
      <protection locked="0"/>
    </xf>
    <xf numFmtId="14" fontId="0" fillId="0" borderId="35" xfId="0" applyNumberFormat="1" applyBorder="1" applyAlignment="1" applyProtection="1">
      <alignment horizontal="right"/>
      <protection locked="0"/>
    </xf>
    <xf numFmtId="14" fontId="0" fillId="0" borderId="43" xfId="0" applyNumberFormat="1" applyBorder="1" applyAlignment="1" applyProtection="1">
      <alignment horizontal="right"/>
      <protection locked="0"/>
    </xf>
    <xf numFmtId="0" fontId="0" fillId="0" borderId="37" xfId="0" applyBorder="1" applyAlignment="1" applyProtection="1">
      <alignment horizontal="right"/>
      <protection locked="0"/>
    </xf>
    <xf numFmtId="0" fontId="0" fillId="0" borderId="45" xfId="0" applyBorder="1" applyAlignment="1" applyProtection="1">
      <alignment horizontal="right"/>
      <protection locked="0"/>
    </xf>
    <xf numFmtId="0" fontId="0" fillId="0" borderId="34" xfId="0" applyBorder="1" applyAlignment="1" applyProtection="1">
      <alignment horizontal="right"/>
      <protection locked="0"/>
    </xf>
    <xf numFmtId="0" fontId="0" fillId="0" borderId="40" xfId="0" applyBorder="1" applyAlignment="1" applyProtection="1">
      <alignment horizontal="right"/>
      <protection locked="0"/>
    </xf>
    <xf numFmtId="0" fontId="0" fillId="0" borderId="38" xfId="0" applyBorder="1" applyAlignment="1" applyProtection="1">
      <alignment horizontal="right"/>
      <protection locked="0"/>
    </xf>
    <xf numFmtId="0" fontId="0" fillId="0" borderId="42" xfId="0" applyBorder="1" applyAlignment="1" applyProtection="1">
      <alignment horizontal="right"/>
      <protection locked="0"/>
    </xf>
    <xf numFmtId="2" fontId="0" fillId="0" borderId="35" xfId="0" applyNumberFormat="1" applyBorder="1" applyProtection="1">
      <protection locked="0"/>
    </xf>
    <xf numFmtId="0" fontId="0" fillId="0" borderId="43" xfId="0" applyBorder="1" applyProtection="1">
      <protection locked="0"/>
    </xf>
    <xf numFmtId="2" fontId="0" fillId="0" borderId="43" xfId="0" applyNumberFormat="1" applyBorder="1" applyProtection="1">
      <protection locked="0"/>
    </xf>
    <xf numFmtId="164" fontId="0" fillId="0" borderId="35" xfId="0" applyNumberFormat="1" applyBorder="1" applyProtection="1">
      <protection locked="0"/>
    </xf>
    <xf numFmtId="164" fontId="0" fillId="0" borderId="37" xfId="0" applyNumberFormat="1" applyBorder="1" applyProtection="1">
      <protection locked="0"/>
    </xf>
    <xf numFmtId="2" fontId="0" fillId="0" borderId="45" xfId="0" applyNumberFormat="1" applyBorder="1" applyProtection="1">
      <protection locked="0"/>
    </xf>
    <xf numFmtId="0" fontId="0" fillId="0" borderId="35" xfId="0" applyBorder="1" applyProtection="1">
      <protection locked="0"/>
    </xf>
    <xf numFmtId="2" fontId="0" fillId="0" borderId="36" xfId="0" applyNumberFormat="1" applyBorder="1" applyProtection="1">
      <protection locked="0"/>
    </xf>
    <xf numFmtId="0" fontId="0" fillId="0" borderId="48" xfId="0" applyBorder="1" applyProtection="1">
      <protection locked="0"/>
    </xf>
    <xf numFmtId="0" fontId="2" fillId="0" borderId="38" xfId="0" applyFont="1" applyBorder="1" applyAlignment="1" applyProtection="1">
      <alignment horizontal="right"/>
      <protection locked="0"/>
    </xf>
    <xf numFmtId="0" fontId="2" fillId="0" borderId="42" xfId="0" applyFont="1" applyBorder="1" applyAlignment="1" applyProtection="1">
      <alignment horizontal="right"/>
      <protection locked="0"/>
    </xf>
    <xf numFmtId="0" fontId="2" fillId="0" borderId="35" xfId="0" applyFont="1" applyBorder="1" applyAlignment="1" applyProtection="1">
      <alignment horizontal="right"/>
      <protection locked="0"/>
    </xf>
    <xf numFmtId="0" fontId="2" fillId="0" borderId="43" xfId="0" applyFont="1" applyBorder="1" applyAlignment="1" applyProtection="1">
      <alignment horizontal="right"/>
      <protection locked="0"/>
    </xf>
    <xf numFmtId="0" fontId="2" fillId="0" borderId="36" xfId="0" applyFont="1" applyBorder="1" applyAlignment="1" applyProtection="1">
      <alignment horizontal="right"/>
      <protection locked="0"/>
    </xf>
    <xf numFmtId="0" fontId="2" fillId="0" borderId="48" xfId="0" applyFont="1" applyBorder="1" applyAlignment="1" applyProtection="1">
      <alignment horizontal="right"/>
      <protection locked="0"/>
    </xf>
    <xf numFmtId="14" fontId="2" fillId="0" borderId="35" xfId="0" applyNumberFormat="1" applyFont="1" applyBorder="1" applyAlignment="1" applyProtection="1">
      <alignment horizontal="right"/>
      <protection locked="0"/>
    </xf>
    <xf numFmtId="14" fontId="2" fillId="0" borderId="43" xfId="0" applyNumberFormat="1" applyFont="1" applyBorder="1" applyAlignment="1" applyProtection="1">
      <alignment horizontal="right"/>
      <protection locked="0"/>
    </xf>
    <xf numFmtId="0" fontId="2" fillId="0" borderId="33" xfId="0" applyFont="1" applyBorder="1" applyProtection="1">
      <protection locked="0"/>
    </xf>
    <xf numFmtId="0" fontId="2" fillId="0" borderId="69" xfId="0" applyFont="1" applyBorder="1" applyProtection="1">
      <protection locked="0"/>
    </xf>
    <xf numFmtId="164" fontId="2" fillId="0" borderId="38" xfId="0" applyNumberFormat="1" applyFont="1" applyBorder="1" applyProtection="1">
      <protection locked="0"/>
    </xf>
    <xf numFmtId="164" fontId="2" fillId="0" borderId="42" xfId="0" applyNumberFormat="1" applyFont="1" applyBorder="1" applyProtection="1">
      <protection locked="0"/>
    </xf>
    <xf numFmtId="0" fontId="10" fillId="0" borderId="37" xfId="0" applyFont="1" applyBorder="1" applyAlignment="1">
      <alignment horizontal="right"/>
    </xf>
    <xf numFmtId="0" fontId="10" fillId="0" borderId="45" xfId="0" applyFont="1" applyBorder="1" applyAlignment="1">
      <alignment horizontal="right"/>
    </xf>
    <xf numFmtId="0" fontId="2" fillId="0" borderId="56" xfId="0" applyFont="1" applyBorder="1" applyAlignment="1">
      <alignment horizontal="right"/>
    </xf>
    <xf numFmtId="0" fontId="2" fillId="0" borderId="2" xfId="0" applyFont="1" applyBorder="1" applyAlignment="1">
      <alignment horizontal="right"/>
    </xf>
    <xf numFmtId="0" fontId="2" fillId="0" borderId="37" xfId="0" applyFont="1" applyBorder="1" applyAlignment="1">
      <alignment horizontal="right"/>
    </xf>
    <xf numFmtId="0" fontId="2" fillId="0" borderId="45" xfId="0" applyFont="1" applyBorder="1" applyAlignment="1">
      <alignment horizontal="right"/>
    </xf>
    <xf numFmtId="0" fontId="2" fillId="0" borderId="70" xfId="0" applyFont="1" applyBorder="1" applyAlignment="1">
      <alignment horizontal="right"/>
    </xf>
    <xf numFmtId="2" fontId="2" fillId="0" borderId="38" xfId="0" applyNumberFormat="1" applyFont="1" applyBorder="1" applyAlignment="1">
      <alignment horizontal="right"/>
    </xf>
    <xf numFmtId="2" fontId="2" fillId="0" borderId="42" xfId="0" applyNumberFormat="1" applyFont="1" applyBorder="1" applyAlignment="1">
      <alignment horizontal="right"/>
    </xf>
    <xf numFmtId="2" fontId="2" fillId="0" borderId="38" xfId="0" applyNumberFormat="1" applyFont="1" applyBorder="1" applyProtection="1">
      <protection locked="0"/>
    </xf>
    <xf numFmtId="2" fontId="2" fillId="0" borderId="42" xfId="0" applyNumberFormat="1" applyFont="1" applyBorder="1" applyProtection="1">
      <protection locked="0"/>
    </xf>
    <xf numFmtId="164" fontId="2" fillId="0" borderId="35" xfId="0" applyNumberFormat="1" applyFont="1" applyBorder="1" applyAlignment="1" applyProtection="1">
      <alignment horizontal="right"/>
      <protection locked="0"/>
    </xf>
    <xf numFmtId="164" fontId="2" fillId="0" borderId="43" xfId="0" applyNumberFormat="1" applyFont="1" applyBorder="1" applyAlignment="1" applyProtection="1">
      <alignment horizontal="right"/>
      <protection locked="0"/>
    </xf>
    <xf numFmtId="2" fontId="2" fillId="0" borderId="35" xfId="0" applyNumberFormat="1" applyFont="1" applyBorder="1" applyAlignment="1" applyProtection="1">
      <alignment horizontal="right"/>
      <protection locked="0"/>
    </xf>
    <xf numFmtId="2" fontId="2" fillId="0" borderId="43" xfId="0" applyNumberFormat="1" applyFont="1" applyBorder="1" applyAlignment="1" applyProtection="1">
      <alignment horizontal="right"/>
      <protection locked="0"/>
    </xf>
    <xf numFmtId="0" fontId="2" fillId="0" borderId="34" xfId="0" applyFont="1" applyBorder="1" applyAlignment="1" applyProtection="1">
      <alignment horizontal="right"/>
      <protection locked="0"/>
    </xf>
    <xf numFmtId="0" fontId="2" fillId="0" borderId="40" xfId="0" applyFont="1" applyBorder="1" applyAlignment="1" applyProtection="1">
      <alignment horizontal="right"/>
      <protection locked="0"/>
    </xf>
    <xf numFmtId="164" fontId="0" fillId="0" borderId="0" xfId="0" applyNumberFormat="1" applyAlignment="1">
      <alignment horizontal="right"/>
    </xf>
    <xf numFmtId="164" fontId="0" fillId="0" borderId="13" xfId="0" applyNumberFormat="1" applyBorder="1" applyAlignment="1">
      <alignment horizontal="right"/>
    </xf>
    <xf numFmtId="0" fontId="0" fillId="0" borderId="13" xfId="0" applyBorder="1" applyAlignment="1">
      <alignment horizontal="left"/>
    </xf>
    <xf numFmtId="0" fontId="0" fillId="0" borderId="41" xfId="0" applyBorder="1" applyAlignment="1">
      <alignment horizontal="left"/>
    </xf>
    <xf numFmtId="2" fontId="0" fillId="0" borderId="13" xfId="0" applyNumberFormat="1" applyBorder="1" applyProtection="1">
      <protection locked="0"/>
    </xf>
    <xf numFmtId="0" fontId="0" fillId="0" borderId="2" xfId="0" applyBorder="1"/>
    <xf numFmtId="0" fontId="4" fillId="0" borderId="71" xfId="0" applyFont="1" applyBorder="1"/>
    <xf numFmtId="0" fontId="1" fillId="0" borderId="71" xfId="0" applyFont="1" applyBorder="1"/>
    <xf numFmtId="0" fontId="0" fillId="0" borderId="68" xfId="0" applyBorder="1"/>
    <xf numFmtId="0" fontId="0" fillId="0" borderId="71" xfId="0" applyBorder="1" applyAlignment="1">
      <alignment horizontal="left"/>
    </xf>
    <xf numFmtId="0" fontId="0" fillId="0" borderId="71" xfId="0" applyBorder="1"/>
    <xf numFmtId="0" fontId="0" fillId="0" borderId="47" xfId="0" applyBorder="1" applyAlignment="1">
      <alignment horizontal="left"/>
    </xf>
    <xf numFmtId="0" fontId="0" fillId="0" borderId="68" xfId="0" applyBorder="1" applyAlignment="1">
      <alignment horizontal="left"/>
    </xf>
    <xf numFmtId="167" fontId="0" fillId="0" borderId="71" xfId="0" applyNumberFormat="1" applyBorder="1" applyProtection="1">
      <protection locked="0"/>
    </xf>
    <xf numFmtId="0" fontId="0" fillId="0" borderId="47" xfId="0" applyBorder="1"/>
    <xf numFmtId="0" fontId="0" fillId="0" borderId="41" xfId="0" applyBorder="1"/>
    <xf numFmtId="164" fontId="0" fillId="0" borderId="71" xfId="0" applyNumberFormat="1" applyBorder="1" applyAlignment="1">
      <alignment horizontal="right"/>
    </xf>
    <xf numFmtId="164" fontId="0" fillId="0" borderId="68" xfId="0" applyNumberFormat="1" applyBorder="1" applyAlignment="1">
      <alignment horizontal="right"/>
    </xf>
    <xf numFmtId="0" fontId="11" fillId="0" borderId="41" xfId="0" applyFont="1" applyBorder="1"/>
    <xf numFmtId="0" fontId="11" fillId="0" borderId="0" xfId="0" applyFont="1"/>
    <xf numFmtId="0" fontId="11" fillId="0" borderId="41" xfId="0" applyFont="1" applyBorder="1" applyAlignment="1">
      <alignment vertical="center"/>
    </xf>
    <xf numFmtId="0" fontId="0" fillId="0" borderId="30" xfId="0" applyBorder="1"/>
    <xf numFmtId="0" fontId="0" fillId="0" borderId="31" xfId="0" applyBorder="1"/>
    <xf numFmtId="0" fontId="0" fillId="0" borderId="32" xfId="0" applyBorder="1"/>
    <xf numFmtId="0" fontId="1" fillId="0" borderId="0" xfId="0" applyFont="1" applyAlignment="1">
      <alignment horizontal="center"/>
    </xf>
    <xf numFmtId="0" fontId="1" fillId="0" borderId="13" xfId="0" applyFont="1" applyBorder="1" applyAlignment="1">
      <alignment horizontal="right"/>
    </xf>
    <xf numFmtId="0" fontId="1" fillId="0" borderId="43" xfId="0" applyFont="1" applyBorder="1" applyAlignment="1">
      <alignment horizontal="right"/>
    </xf>
    <xf numFmtId="164" fontId="2" fillId="0" borderId="0" xfId="0" applyNumberFormat="1" applyFont="1" applyAlignment="1">
      <alignment horizontal="right"/>
    </xf>
    <xf numFmtId="0" fontId="2" fillId="0" borderId="0" xfId="0" applyFont="1" applyAlignment="1">
      <alignment horizontal="right"/>
    </xf>
    <xf numFmtId="0" fontId="0" fillId="0" borderId="70" xfId="0" applyBorder="1" applyAlignment="1">
      <alignment horizontal="right"/>
    </xf>
    <xf numFmtId="0" fontId="0" fillId="0" borderId="1" xfId="0" applyBorder="1" applyAlignment="1">
      <alignment horizontal="right"/>
    </xf>
    <xf numFmtId="0" fontId="0" fillId="0" borderId="38" xfId="0" applyBorder="1" applyAlignment="1">
      <alignment horizontal="right"/>
    </xf>
    <xf numFmtId="0" fontId="0" fillId="0" borderId="60" xfId="0" applyBorder="1" applyAlignment="1">
      <alignment horizontal="right"/>
    </xf>
    <xf numFmtId="0" fontId="0" fillId="0" borderId="56" xfId="0" applyBorder="1" applyAlignment="1">
      <alignment horizontal="right"/>
    </xf>
    <xf numFmtId="0" fontId="0" fillId="0" borderId="2" xfId="0" applyBorder="1" applyAlignment="1">
      <alignment horizontal="right"/>
    </xf>
    <xf numFmtId="0" fontId="0" fillId="0" borderId="37" xfId="0" applyBorder="1" applyAlignment="1">
      <alignment horizontal="right"/>
    </xf>
    <xf numFmtId="0" fontId="0" fillId="0" borderId="35" xfId="0" applyBorder="1" applyAlignment="1">
      <alignment horizontal="right"/>
    </xf>
    <xf numFmtId="2" fontId="2" fillId="0" borderId="35" xfId="0" applyNumberFormat="1" applyFont="1" applyBorder="1" applyProtection="1">
      <protection locked="0"/>
    </xf>
    <xf numFmtId="2" fontId="2" fillId="0" borderId="43" xfId="0" applyNumberFormat="1" applyFont="1" applyBorder="1" applyProtection="1">
      <protection locked="0"/>
    </xf>
    <xf numFmtId="164" fontId="2" fillId="0" borderId="35" xfId="0" applyNumberFormat="1" applyFont="1" applyBorder="1" applyProtection="1">
      <protection locked="0"/>
    </xf>
    <xf numFmtId="164" fontId="2" fillId="0" borderId="43" xfId="0" applyNumberFormat="1" applyFont="1" applyBorder="1" applyProtection="1">
      <protection locked="0"/>
    </xf>
    <xf numFmtId="0" fontId="0" fillId="0" borderId="61" xfId="0" applyBorder="1" applyAlignment="1">
      <alignment horizontal="right"/>
    </xf>
    <xf numFmtId="0" fontId="0" fillId="0" borderId="51" xfId="0" applyBorder="1" applyAlignment="1">
      <alignment horizontal="right"/>
    </xf>
    <xf numFmtId="166" fontId="10" fillId="0" borderId="35" xfId="0" applyNumberFormat="1" applyFont="1" applyBorder="1" applyAlignment="1">
      <alignment horizontal="right" vertical="center"/>
    </xf>
    <xf numFmtId="166" fontId="10" fillId="0" borderId="43" xfId="0" applyNumberFormat="1" applyFont="1" applyBorder="1" applyAlignment="1">
      <alignment horizontal="right" vertical="center"/>
    </xf>
    <xf numFmtId="0" fontId="0" fillId="0" borderId="31" xfId="0" applyBorder="1" applyAlignment="1">
      <alignment horizontal="right"/>
    </xf>
    <xf numFmtId="2" fontId="0" fillId="0" borderId="52" xfId="0" applyNumberFormat="1" applyBorder="1"/>
    <xf numFmtId="2" fontId="0" fillId="0" borderId="51" xfId="0" applyNumberFormat="1" applyBorder="1" applyAlignment="1">
      <alignment horizontal="right"/>
    </xf>
    <xf numFmtId="0" fontId="0" fillId="0" borderId="41" xfId="0" applyBorder="1" applyProtection="1">
      <protection locked="0"/>
    </xf>
    <xf numFmtId="0" fontId="0" fillId="0" borderId="60" xfId="0" applyBorder="1" applyProtection="1">
      <protection locked="0"/>
    </xf>
    <xf numFmtId="0" fontId="0" fillId="0" borderId="65" xfId="0" applyBorder="1" applyProtection="1">
      <protection locked="0"/>
    </xf>
    <xf numFmtId="2" fontId="0" fillId="0" borderId="35" xfId="0" applyNumberFormat="1" applyBorder="1" applyAlignment="1" applyProtection="1">
      <alignment horizontal="right"/>
      <protection locked="0"/>
    </xf>
    <xf numFmtId="168" fontId="0" fillId="0" borderId="0" xfId="0" applyNumberFormat="1"/>
    <xf numFmtId="0" fontId="0" fillId="0" borderId="41" xfId="0" applyBorder="1" applyAlignment="1">
      <alignment horizontal="left"/>
    </xf>
    <xf numFmtId="0" fontId="0" fillId="0" borderId="0" xfId="0" applyAlignment="1">
      <alignment horizontal="left"/>
    </xf>
    <xf numFmtId="0" fontId="0" fillId="0" borderId="41" xfId="0" applyBorder="1" applyAlignment="1">
      <alignment horizontal="left" wrapText="1"/>
    </xf>
    <xf numFmtId="0" fontId="0" fillId="0" borderId="0" xfId="0" applyAlignment="1">
      <alignment horizontal="left" wrapText="1"/>
    </xf>
    <xf numFmtId="0" fontId="1" fillId="0" borderId="73" xfId="0" applyFont="1" applyBorder="1" applyAlignment="1">
      <alignment horizontal="left"/>
    </xf>
    <xf numFmtId="0" fontId="1" fillId="0" borderId="3" xfId="0" applyFont="1" applyBorder="1" applyAlignment="1">
      <alignment horizontal="left"/>
    </xf>
    <xf numFmtId="0" fontId="1" fillId="0" borderId="74" xfId="0" applyFont="1" applyBorder="1" applyAlignment="1">
      <alignment horizontal="left"/>
    </xf>
    <xf numFmtId="0" fontId="0" fillId="0" borderId="47" xfId="0" applyBorder="1" applyAlignment="1">
      <alignment horizontal="left"/>
    </xf>
    <xf numFmtId="0" fontId="0" fillId="0" borderId="13" xfId="0" applyBorder="1" applyAlignment="1">
      <alignment horizontal="left"/>
    </xf>
    <xf numFmtId="0" fontId="0" fillId="0" borderId="71" xfId="0" applyBorder="1" applyAlignment="1">
      <alignment horizontal="left"/>
    </xf>
    <xf numFmtId="0" fontId="0" fillId="0" borderId="0" xfId="0" applyAlignment="1" applyProtection="1">
      <alignment horizontal="right"/>
      <protection locked="0"/>
    </xf>
    <xf numFmtId="0" fontId="0" fillId="0" borderId="2" xfId="0" applyBorder="1" applyAlignment="1" applyProtection="1">
      <alignment horizontal="right"/>
      <protection locked="0"/>
    </xf>
    <xf numFmtId="0" fontId="0" fillId="0" borderId="3" xfId="0" applyBorder="1" applyAlignment="1" applyProtection="1">
      <alignment horizontal="right"/>
      <protection locked="0"/>
    </xf>
    <xf numFmtId="0" fontId="1" fillId="0" borderId="44" xfId="0" applyFont="1" applyBorder="1" applyAlignment="1">
      <alignment horizontal="left"/>
    </xf>
    <xf numFmtId="0" fontId="1" fillId="0" borderId="2" xfId="0" applyFont="1" applyBorder="1" applyAlignment="1">
      <alignment horizontal="left"/>
    </xf>
    <xf numFmtId="0" fontId="1" fillId="0" borderId="72" xfId="0" applyFont="1" applyBorder="1" applyAlignment="1">
      <alignment horizontal="left"/>
    </xf>
    <xf numFmtId="0" fontId="1" fillId="0" borderId="9" xfId="0" applyFont="1" applyBorder="1" applyAlignment="1">
      <alignment horizontal="center"/>
    </xf>
    <xf numFmtId="0" fontId="1" fillId="0" borderId="54" xfId="0" applyFont="1" applyBorder="1" applyAlignment="1">
      <alignment horizontal="center"/>
    </xf>
    <xf numFmtId="14" fontId="0" fillId="0" borderId="3" xfId="0" applyNumberFormat="1" applyBorder="1" applyAlignment="1" applyProtection="1">
      <alignment horizontal="right"/>
      <protection locked="0"/>
    </xf>
    <xf numFmtId="14" fontId="0" fillId="0" borderId="2" xfId="0" applyNumberFormat="1" applyBorder="1" applyAlignment="1" applyProtection="1">
      <alignment horizontal="right"/>
      <protection locked="0"/>
    </xf>
    <xf numFmtId="0" fontId="0" fillId="0" borderId="26" xfId="0" applyBorder="1" applyAlignment="1" applyProtection="1">
      <alignment horizontal="right"/>
      <protection locked="0"/>
    </xf>
    <xf numFmtId="0" fontId="0" fillId="0" borderId="2" xfId="0" applyBorder="1" applyAlignment="1" applyProtection="1">
      <alignment horizontal="left"/>
      <protection locked="0"/>
    </xf>
    <xf numFmtId="0" fontId="0" fillId="0" borderId="3" xfId="0" applyBorder="1" applyAlignment="1" applyProtection="1">
      <alignment horizontal="left"/>
      <protection locked="0"/>
    </xf>
    <xf numFmtId="0" fontId="0" fillId="0" borderId="26" xfId="0" applyBorder="1" applyAlignment="1" applyProtection="1">
      <alignment horizontal="left"/>
      <protection locked="0"/>
    </xf>
    <xf numFmtId="0" fontId="1" fillId="0" borderId="53" xfId="0" applyFont="1" applyBorder="1" applyAlignment="1">
      <alignment horizontal="center"/>
    </xf>
    <xf numFmtId="0" fontId="0" fillId="0" borderId="3" xfId="0" quotePrefix="1" applyBorder="1" applyAlignment="1" applyProtection="1">
      <alignment horizontal="right"/>
      <protection locked="0"/>
    </xf>
    <xf numFmtId="0" fontId="0" fillId="0" borderId="3" xfId="0" applyBorder="1" applyAlignment="1">
      <alignment horizontal="right"/>
    </xf>
    <xf numFmtId="2" fontId="0" fillId="0" borderId="26" xfId="0" applyNumberFormat="1" applyBorder="1" applyAlignment="1" applyProtection="1">
      <alignment horizontal="right"/>
      <protection locked="0"/>
    </xf>
    <xf numFmtId="2" fontId="0" fillId="0" borderId="1" xfId="0" applyNumberFormat="1" applyBorder="1" applyAlignment="1" applyProtection="1">
      <alignment horizontal="right"/>
      <protection locked="0"/>
    </xf>
    <xf numFmtId="14" fontId="0" fillId="0" borderId="13" xfId="0" applyNumberFormat="1" applyBorder="1" applyAlignment="1" applyProtection="1">
      <alignment horizontal="right"/>
      <protection locked="0"/>
    </xf>
    <xf numFmtId="0" fontId="14" fillId="0" borderId="75" xfId="0" applyFont="1" applyBorder="1" applyAlignment="1">
      <alignment horizontal="center"/>
    </xf>
    <xf numFmtId="0" fontId="14" fillId="0" borderId="5" xfId="0" applyFont="1" applyBorder="1" applyAlignment="1">
      <alignment horizontal="center"/>
    </xf>
    <xf numFmtId="0" fontId="14" fillId="0" borderId="76" xfId="0" applyFont="1" applyBorder="1" applyAlignment="1">
      <alignment horizontal="center"/>
    </xf>
    <xf numFmtId="165" fontId="0" fillId="0" borderId="23" xfId="0" applyNumberFormat="1" applyBorder="1" applyAlignment="1">
      <alignment horizontal="right"/>
    </xf>
    <xf numFmtId="165" fontId="0" fillId="0" borderId="24" xfId="0" applyNumberFormat="1" applyBorder="1" applyAlignment="1">
      <alignment horizontal="right"/>
    </xf>
    <xf numFmtId="0" fontId="1" fillId="0" borderId="0" xfId="0" applyFont="1" applyAlignment="1">
      <alignment horizontal="center"/>
    </xf>
    <xf numFmtId="0" fontId="0" fillId="0" borderId="47" xfId="0" applyBorder="1" applyAlignment="1">
      <alignment horizontal="right"/>
    </xf>
    <xf numFmtId="0" fontId="0" fillId="0" borderId="13" xfId="0" applyBorder="1" applyAlignment="1">
      <alignment horizontal="right"/>
    </xf>
    <xf numFmtId="0" fontId="0" fillId="0" borderId="13" xfId="0" applyBorder="1" applyAlignment="1" applyProtection="1">
      <alignment horizontal="center"/>
      <protection locked="0"/>
    </xf>
    <xf numFmtId="167" fontId="0" fillId="0" borderId="13" xfId="0" applyNumberFormat="1" applyBorder="1" applyAlignment="1" applyProtection="1">
      <alignment horizontal="left"/>
      <protection locked="0"/>
    </xf>
    <xf numFmtId="0" fontId="0" fillId="0" borderId="13" xfId="0" applyBorder="1" applyAlignment="1" applyProtection="1">
      <alignment horizontal="right"/>
      <protection locked="0"/>
    </xf>
    <xf numFmtId="168" fontId="0" fillId="0" borderId="23" xfId="0" applyNumberFormat="1" applyBorder="1" applyAlignment="1" applyProtection="1">
      <alignment horizontal="right"/>
      <protection locked="0"/>
    </xf>
    <xf numFmtId="168" fontId="0" fillId="0" borderId="24" xfId="0" applyNumberFormat="1" applyBorder="1" applyAlignment="1" applyProtection="1">
      <alignment horizontal="right"/>
      <protection locked="0"/>
    </xf>
    <xf numFmtId="168" fontId="0" fillId="0" borderId="20" xfId="0" applyNumberFormat="1" applyBorder="1" applyAlignment="1" applyProtection="1">
      <alignment horizontal="right"/>
      <protection locked="0"/>
    </xf>
    <xf numFmtId="168" fontId="0" fillId="0" borderId="25" xfId="0" applyNumberFormat="1" applyBorder="1" applyAlignment="1" applyProtection="1">
      <alignment horizontal="right"/>
      <protection locked="0"/>
    </xf>
    <xf numFmtId="2" fontId="0" fillId="0" borderId="23" xfId="0" applyNumberFormat="1" applyBorder="1" applyAlignment="1" applyProtection="1">
      <alignment horizontal="right"/>
      <protection locked="0"/>
    </xf>
    <xf numFmtId="2" fontId="0" fillId="0" borderId="24" xfId="0" applyNumberFormat="1" applyBorder="1" applyAlignment="1" applyProtection="1">
      <alignment horizontal="right"/>
      <protection locked="0"/>
    </xf>
    <xf numFmtId="164" fontId="0" fillId="0" borderId="23" xfId="0" applyNumberFormat="1" applyBorder="1" applyAlignment="1">
      <alignment horizontal="right"/>
    </xf>
    <xf numFmtId="164" fontId="0" fillId="0" borderId="0" xfId="0" applyNumberFormat="1" applyAlignment="1">
      <alignment horizontal="right"/>
    </xf>
    <xf numFmtId="164" fontId="0" fillId="0" borderId="71" xfId="0" applyNumberFormat="1" applyBorder="1" applyAlignment="1">
      <alignment horizontal="right"/>
    </xf>
    <xf numFmtId="2" fontId="0" fillId="0" borderId="15" xfId="0" applyNumberFormat="1" applyBorder="1" applyAlignment="1" applyProtection="1">
      <alignment horizontal="right"/>
      <protection locked="0"/>
    </xf>
    <xf numFmtId="2" fontId="0" fillId="0" borderId="16" xfId="0" applyNumberFormat="1" applyBorder="1" applyAlignment="1" applyProtection="1">
      <alignment horizontal="right"/>
      <protection locked="0"/>
    </xf>
    <xf numFmtId="168" fontId="0" fillId="0" borderId="15" xfId="0" applyNumberFormat="1" applyBorder="1" applyAlignment="1" applyProtection="1">
      <alignment horizontal="right"/>
      <protection locked="0"/>
    </xf>
    <xf numFmtId="168" fontId="0" fillId="0" borderId="16" xfId="0" applyNumberFormat="1" applyBorder="1" applyAlignment="1" applyProtection="1">
      <alignment horizontal="right"/>
      <protection locked="0"/>
    </xf>
    <xf numFmtId="164" fontId="0" fillId="0" borderId="15" xfId="0" applyNumberFormat="1" applyBorder="1" applyAlignment="1">
      <alignment horizontal="right"/>
    </xf>
    <xf numFmtId="164" fontId="0" fillId="0" borderId="8" xfId="0" applyNumberFormat="1" applyBorder="1" applyAlignment="1">
      <alignment horizontal="right"/>
    </xf>
    <xf numFmtId="164" fontId="0" fillId="0" borderId="16" xfId="0" applyNumberFormat="1" applyBorder="1" applyAlignment="1">
      <alignment horizontal="right"/>
    </xf>
    <xf numFmtId="0" fontId="1" fillId="0" borderId="7" xfId="0" applyFont="1" applyBorder="1" applyAlignment="1">
      <alignment horizontal="right"/>
    </xf>
    <xf numFmtId="0" fontId="1" fillId="0" borderId="19" xfId="0" applyFont="1" applyBorder="1" applyAlignment="1">
      <alignment horizontal="right"/>
    </xf>
    <xf numFmtId="0" fontId="1" fillId="0" borderId="10" xfId="0" applyFont="1" applyBorder="1" applyAlignment="1">
      <alignment horizontal="right"/>
    </xf>
    <xf numFmtId="0" fontId="1" fillId="0" borderId="11" xfId="0" applyFont="1" applyBorder="1" applyAlignment="1">
      <alignment horizontal="right"/>
    </xf>
    <xf numFmtId="0" fontId="1" fillId="0" borderId="12" xfId="0" applyFont="1" applyBorder="1" applyAlignment="1">
      <alignment horizontal="right"/>
    </xf>
    <xf numFmtId="0" fontId="1" fillId="0" borderId="14" xfId="0" applyFont="1" applyBorder="1" applyAlignment="1">
      <alignment horizontal="right"/>
    </xf>
    <xf numFmtId="0" fontId="1" fillId="0" borderId="8" xfId="0" applyFont="1" applyBorder="1" applyAlignment="1">
      <alignment horizontal="right"/>
    </xf>
    <xf numFmtId="0" fontId="1" fillId="0" borderId="50" xfId="0" applyFont="1" applyBorder="1" applyAlignment="1">
      <alignment horizontal="right"/>
    </xf>
    <xf numFmtId="0" fontId="1" fillId="0" borderId="0" xfId="0" applyFont="1" applyAlignment="1">
      <alignment horizontal="right"/>
    </xf>
    <xf numFmtId="0" fontId="1" fillId="0" borderId="71" xfId="0" applyFont="1" applyBorder="1" applyAlignment="1">
      <alignment horizontal="right"/>
    </xf>
    <xf numFmtId="0" fontId="1" fillId="0" borderId="13" xfId="0" applyFont="1" applyBorder="1" applyAlignment="1">
      <alignment horizontal="right"/>
    </xf>
    <xf numFmtId="0" fontId="1" fillId="0" borderId="68" xfId="0" applyFont="1" applyBorder="1" applyAlignment="1">
      <alignment horizontal="right"/>
    </xf>
    <xf numFmtId="0" fontId="1" fillId="0" borderId="77" xfId="0" applyFont="1" applyBorder="1" applyAlignment="1">
      <alignment horizontal="right" wrapText="1"/>
    </xf>
    <xf numFmtId="0" fontId="1" fillId="0" borderId="81" xfId="0" applyFont="1" applyBorder="1" applyAlignment="1">
      <alignment horizontal="right" wrapText="1"/>
    </xf>
    <xf numFmtId="0" fontId="1" fillId="0" borderId="78" xfId="0" applyFont="1" applyBorder="1" applyAlignment="1">
      <alignment horizontal="right" wrapText="1"/>
    </xf>
    <xf numFmtId="0" fontId="1" fillId="0" borderId="7" xfId="0" applyFont="1" applyBorder="1" applyAlignment="1">
      <alignment horizontal="right" wrapText="1"/>
    </xf>
    <xf numFmtId="0" fontId="1" fillId="0" borderId="19" xfId="0" applyFont="1" applyBorder="1" applyAlignment="1">
      <alignment horizontal="right" wrapText="1"/>
    </xf>
    <xf numFmtId="0" fontId="1" fillId="0" borderId="10" xfId="0" applyFont="1" applyBorder="1" applyAlignment="1">
      <alignment horizontal="right" wrapText="1"/>
    </xf>
    <xf numFmtId="0" fontId="1" fillId="0" borderId="11" xfId="0" applyFont="1" applyBorder="1" applyAlignment="1">
      <alignment horizontal="right" wrapText="1"/>
    </xf>
    <xf numFmtId="0" fontId="1" fillId="0" borderId="12" xfId="0" applyFont="1" applyBorder="1" applyAlignment="1">
      <alignment horizontal="right" wrapText="1"/>
    </xf>
    <xf numFmtId="0" fontId="1" fillId="0" borderId="14" xfId="0" applyFont="1" applyBorder="1" applyAlignment="1">
      <alignment horizontal="right" wrapText="1"/>
    </xf>
    <xf numFmtId="0" fontId="1" fillId="0" borderId="4" xfId="0" applyFont="1" applyBorder="1" applyAlignment="1">
      <alignment horizontal="center"/>
    </xf>
    <xf numFmtId="0" fontId="1" fillId="0" borderId="5" xfId="0" applyFont="1" applyBorder="1" applyAlignment="1">
      <alignment horizontal="center"/>
    </xf>
    <xf numFmtId="0" fontId="1" fillId="0" borderId="6" xfId="0" applyFont="1" applyBorder="1" applyAlignment="1">
      <alignment horizontal="center"/>
    </xf>
    <xf numFmtId="0" fontId="1" fillId="0" borderId="8" xfId="0" applyFont="1" applyBorder="1" applyAlignment="1">
      <alignment horizontal="right" wrapText="1"/>
    </xf>
    <xf numFmtId="0" fontId="1" fillId="0" borderId="0" xfId="0" applyFont="1" applyAlignment="1">
      <alignment horizontal="right" wrapText="1"/>
    </xf>
    <xf numFmtId="0" fontId="1" fillId="0" borderId="13" xfId="0" applyFont="1" applyBorder="1" applyAlignment="1">
      <alignment horizontal="right" wrapText="1"/>
    </xf>
    <xf numFmtId="0" fontId="1" fillId="0" borderId="82" xfId="0" applyFont="1" applyBorder="1" applyAlignment="1">
      <alignment horizontal="center"/>
    </xf>
    <xf numFmtId="0" fontId="1" fillId="0" borderId="33" xfId="0" applyFont="1" applyBorder="1" applyAlignment="1">
      <alignment horizontal="center"/>
    </xf>
    <xf numFmtId="0" fontId="1" fillId="0" borderId="83" xfId="0" applyFont="1" applyBorder="1" applyAlignment="1">
      <alignment horizontal="center"/>
    </xf>
    <xf numFmtId="0" fontId="1" fillId="0" borderId="10" xfId="0" applyFont="1" applyBorder="1" applyAlignment="1">
      <alignment horizontal="right" vertical="center"/>
    </xf>
    <xf numFmtId="0" fontId="1" fillId="0" borderId="0" xfId="0" applyFont="1" applyAlignment="1">
      <alignment horizontal="right" vertical="center"/>
    </xf>
    <xf numFmtId="0" fontId="1" fillId="0" borderId="11" xfId="0" applyFont="1" applyBorder="1" applyAlignment="1">
      <alignment horizontal="right" vertical="center"/>
    </xf>
    <xf numFmtId="0" fontId="1" fillId="0" borderId="12" xfId="0" applyFont="1" applyBorder="1" applyAlignment="1">
      <alignment horizontal="right" vertical="center"/>
    </xf>
    <xf numFmtId="0" fontId="1" fillId="0" borderId="13" xfId="0" applyFont="1" applyBorder="1" applyAlignment="1">
      <alignment horizontal="right" vertical="center"/>
    </xf>
    <xf numFmtId="0" fontId="1" fillId="0" borderId="14" xfId="0" applyFont="1" applyBorder="1" applyAlignment="1">
      <alignment horizontal="right" vertical="center"/>
    </xf>
    <xf numFmtId="0" fontId="1" fillId="0" borderId="17" xfId="0" applyFont="1" applyBorder="1" applyAlignment="1">
      <alignment horizontal="right"/>
    </xf>
    <xf numFmtId="0" fontId="1" fillId="0" borderId="18" xfId="0" applyFont="1" applyBorder="1" applyAlignment="1">
      <alignment horizontal="right"/>
    </xf>
    <xf numFmtId="0" fontId="1" fillId="0" borderId="84" xfId="0" applyFont="1" applyBorder="1" applyAlignment="1">
      <alignment horizontal="right"/>
    </xf>
    <xf numFmtId="2" fontId="0" fillId="0" borderId="20" xfId="0" applyNumberFormat="1" applyBorder="1" applyAlignment="1" applyProtection="1">
      <alignment horizontal="right"/>
      <protection locked="0"/>
    </xf>
    <xf numFmtId="2" fontId="0" fillId="0" borderId="25" xfId="0" applyNumberFormat="1" applyBorder="1" applyAlignment="1" applyProtection="1">
      <alignment horizontal="right"/>
      <protection locked="0"/>
    </xf>
    <xf numFmtId="0" fontId="1" fillId="0" borderId="75" xfId="0" applyFont="1" applyBorder="1" applyAlignment="1">
      <alignment horizontal="center"/>
    </xf>
    <xf numFmtId="0" fontId="1" fillId="0" borderId="76" xfId="0" applyFont="1" applyBorder="1" applyAlignment="1">
      <alignment horizontal="center"/>
    </xf>
    <xf numFmtId="0" fontId="0" fillId="0" borderId="0" xfId="0" applyAlignment="1">
      <alignment horizontal="right"/>
    </xf>
    <xf numFmtId="14" fontId="0" fillId="0" borderId="2" xfId="0" applyNumberFormat="1" applyBorder="1" applyAlignment="1" applyProtection="1">
      <alignment horizontal="left"/>
      <protection locked="0"/>
    </xf>
    <xf numFmtId="164" fontId="0" fillId="0" borderId="24" xfId="0" applyNumberFormat="1" applyBorder="1" applyAlignment="1">
      <alignment horizontal="right"/>
    </xf>
    <xf numFmtId="0" fontId="5" fillId="0" borderId="27" xfId="0" applyFont="1" applyBorder="1" applyAlignment="1">
      <alignment horizontal="center"/>
    </xf>
    <xf numFmtId="0" fontId="5" fillId="0" borderId="28" xfId="0" applyFont="1" applyBorder="1" applyAlignment="1">
      <alignment horizontal="center"/>
    </xf>
    <xf numFmtId="0" fontId="5" fillId="0" borderId="29" xfId="0" applyFont="1" applyBorder="1" applyAlignment="1">
      <alignment horizontal="center"/>
    </xf>
    <xf numFmtId="0" fontId="4" fillId="0" borderId="30" xfId="0" applyFont="1" applyBorder="1" applyAlignment="1">
      <alignment horizontal="center"/>
    </xf>
    <xf numFmtId="0" fontId="4" fillId="0" borderId="31" xfId="0" applyFont="1" applyBorder="1" applyAlignment="1">
      <alignment horizontal="center"/>
    </xf>
    <xf numFmtId="0" fontId="4" fillId="0" borderId="32" xfId="0" applyFont="1" applyBorder="1" applyAlignment="1">
      <alignment horizontal="center"/>
    </xf>
    <xf numFmtId="0" fontId="1" fillId="0" borderId="57" xfId="0" applyFont="1" applyBorder="1" applyAlignment="1">
      <alignment horizontal="center"/>
    </xf>
    <xf numFmtId="0" fontId="1" fillId="0" borderId="58" xfId="0" applyFont="1" applyBorder="1" applyAlignment="1">
      <alignment horizontal="center"/>
    </xf>
    <xf numFmtId="0" fontId="1" fillId="0" borderId="59" xfId="0" applyFont="1" applyBorder="1" applyAlignment="1">
      <alignment horizontal="center"/>
    </xf>
    <xf numFmtId="0" fontId="0" fillId="0" borderId="55" xfId="0" applyBorder="1" applyAlignment="1">
      <alignment horizontal="center"/>
    </xf>
    <xf numFmtId="0" fontId="0" fillId="0" borderId="35" xfId="0" applyBorder="1" applyAlignment="1">
      <alignment horizontal="center"/>
    </xf>
    <xf numFmtId="0" fontId="0" fillId="0" borderId="36" xfId="0" applyBorder="1" applyAlignment="1">
      <alignment horizontal="center"/>
    </xf>
    <xf numFmtId="164" fontId="0" fillId="0" borderId="20" xfId="0" applyNumberFormat="1" applyBorder="1" applyAlignment="1">
      <alignment horizontal="right"/>
    </xf>
    <xf numFmtId="164" fontId="0" fillId="0" borderId="13" xfId="0" applyNumberFormat="1" applyBorder="1" applyAlignment="1">
      <alignment horizontal="right"/>
    </xf>
    <xf numFmtId="164" fontId="0" fillId="0" borderId="25" xfId="0" applyNumberFormat="1" applyBorder="1" applyAlignment="1">
      <alignment horizontal="right"/>
    </xf>
    <xf numFmtId="14" fontId="2" fillId="0" borderId="2" xfId="0" applyNumberFormat="1" applyFont="1" applyBorder="1" applyAlignment="1">
      <alignment horizontal="left"/>
    </xf>
    <xf numFmtId="0" fontId="1" fillId="0" borderId="62" xfId="0" applyFont="1" applyBorder="1" applyAlignment="1">
      <alignment horizontal="center"/>
    </xf>
    <xf numFmtId="0" fontId="1" fillId="0" borderId="65" xfId="0" applyFont="1" applyBorder="1" applyAlignment="1">
      <alignment horizontal="center"/>
    </xf>
    <xf numFmtId="0" fontId="0" fillId="0" borderId="39" xfId="0" applyBorder="1" applyAlignment="1">
      <alignment horizontal="left"/>
    </xf>
    <xf numFmtId="0" fontId="0" fillId="0" borderId="1" xfId="0" applyBorder="1" applyAlignment="1">
      <alignment horizontal="left"/>
    </xf>
    <xf numFmtId="0" fontId="1" fillId="0" borderId="63" xfId="0" applyFont="1" applyBorder="1" applyAlignment="1">
      <alignment horizontal="center"/>
    </xf>
    <xf numFmtId="0" fontId="1" fillId="0" borderId="64" xfId="0" applyFont="1" applyBorder="1" applyAlignment="1">
      <alignment horizontal="center"/>
    </xf>
    <xf numFmtId="0" fontId="0" fillId="0" borderId="44" xfId="0" applyBorder="1" applyAlignment="1">
      <alignment horizontal="left"/>
    </xf>
    <xf numFmtId="0" fontId="0" fillId="0" borderId="2" xfId="0" applyBorder="1" applyAlignment="1">
      <alignment horizontal="left"/>
    </xf>
    <xf numFmtId="0" fontId="1" fillId="0" borderId="49" xfId="0" applyFont="1" applyBorder="1" applyAlignment="1">
      <alignment horizontal="center"/>
    </xf>
    <xf numFmtId="0" fontId="1" fillId="0" borderId="8" xfId="0" applyFont="1" applyBorder="1" applyAlignment="1">
      <alignment horizontal="center"/>
    </xf>
    <xf numFmtId="0" fontId="1" fillId="0" borderId="50" xfId="0" applyFont="1" applyBorder="1" applyAlignment="1">
      <alignment horizontal="center"/>
    </xf>
    <xf numFmtId="0" fontId="0" fillId="0" borderId="79" xfId="0" applyBorder="1" applyAlignment="1">
      <alignment horizontal="left"/>
    </xf>
    <xf numFmtId="0" fontId="0" fillId="0" borderId="24" xfId="0" applyBorder="1" applyAlignment="1">
      <alignment horizontal="left"/>
    </xf>
    <xf numFmtId="0" fontId="0" fillId="0" borderId="80" xfId="0" applyBorder="1" applyAlignment="1">
      <alignment horizontal="left"/>
    </xf>
    <xf numFmtId="167" fontId="0" fillId="0" borderId="35" xfId="0" applyNumberFormat="1" applyBorder="1" applyAlignment="1" applyProtection="1">
      <alignment horizontal="center"/>
      <protection locked="0"/>
    </xf>
    <xf numFmtId="0" fontId="0" fillId="0" borderId="0" xfId="0" applyAlignment="1">
      <alignment horizontal="right" vertical="center"/>
    </xf>
    <xf numFmtId="0" fontId="0" fillId="0" borderId="41" xfId="0" applyBorder="1" applyAlignment="1">
      <alignment horizontal="right" vertical="center"/>
    </xf>
    <xf numFmtId="0" fontId="0" fillId="0" borderId="25" xfId="0" applyBorder="1" applyAlignment="1">
      <alignment horizontal="left"/>
    </xf>
    <xf numFmtId="0" fontId="8" fillId="0" borderId="7" xfId="0" applyFont="1" applyBorder="1" applyAlignment="1">
      <alignment horizontal="center"/>
    </xf>
    <xf numFmtId="0" fontId="8" fillId="0" borderId="16" xfId="0" applyFont="1" applyBorder="1" applyAlignment="1">
      <alignment horizontal="center"/>
    </xf>
    <xf numFmtId="0" fontId="4" fillId="0" borderId="4" xfId="0" applyFont="1" applyBorder="1" applyAlignment="1">
      <alignment horizontal="center"/>
    </xf>
    <xf numFmtId="0" fontId="4" fillId="0" borderId="5" xfId="0" applyFont="1" applyBorder="1" applyAlignment="1">
      <alignment horizontal="center"/>
    </xf>
    <xf numFmtId="0" fontId="4" fillId="0" borderId="6" xfId="0" applyFont="1" applyBorder="1" applyAlignment="1">
      <alignment horizontal="center"/>
    </xf>
    <xf numFmtId="0" fontId="8" fillId="0" borderId="15" xfId="0" applyFont="1" applyBorder="1" applyAlignment="1">
      <alignment horizontal="center" vertical="top"/>
    </xf>
    <xf numFmtId="0" fontId="8" fillId="0" borderId="19" xfId="0" applyFont="1" applyBorder="1" applyAlignment="1">
      <alignment horizontal="center" vertical="top"/>
    </xf>
    <xf numFmtId="0" fontId="8" fillId="0" borderId="20" xfId="0" applyFont="1" applyBorder="1" applyAlignment="1">
      <alignment horizontal="center" vertical="top"/>
    </xf>
    <xf numFmtId="0" fontId="8" fillId="0" borderId="14" xfId="0" applyFont="1" applyBorder="1" applyAlignment="1">
      <alignment horizontal="center" vertical="top"/>
    </xf>
  </cellXfs>
  <cellStyles count="1">
    <cellStyle name="Normal" xfId="0" builtinId="0"/>
  </cellStyles>
  <dxfs count="84">
    <dxf>
      <numFmt numFmtId="167" formatCode=";;;"/>
    </dxf>
    <dxf>
      <numFmt numFmtId="1" formatCode="0"/>
    </dxf>
    <dxf>
      <font>
        <b/>
        <i val="0"/>
        <color rgb="FFC00000"/>
      </font>
    </dxf>
    <dxf>
      <numFmt numFmtId="166" formatCode="0.00000"/>
    </dxf>
    <dxf>
      <font>
        <b/>
        <i val="0"/>
        <color rgb="FFC00000"/>
      </font>
    </dxf>
    <dxf>
      <numFmt numFmtId="166" formatCode="0.00000"/>
    </dxf>
    <dxf>
      <font>
        <b/>
        <i val="0"/>
        <color rgb="FFC00000"/>
      </font>
    </dxf>
    <dxf>
      <numFmt numFmtId="166" formatCode="0.00000"/>
    </dxf>
    <dxf>
      <numFmt numFmtId="166" formatCode="0.00000"/>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numFmt numFmtId="166" formatCode="0.00000"/>
    </dxf>
    <dxf>
      <numFmt numFmtId="166" formatCode="0.00000"/>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numFmt numFmtId="167" formatCode=";;;"/>
    </dxf>
    <dxf>
      <numFmt numFmtId="1" formatCode="0"/>
    </dxf>
    <dxf>
      <font>
        <b/>
        <i val="0"/>
        <color rgb="FFC00000"/>
      </font>
    </dxf>
    <dxf>
      <font>
        <b/>
        <i val="0"/>
        <color rgb="FFC00000"/>
      </font>
    </dxf>
    <dxf>
      <font>
        <b/>
        <i val="0"/>
        <color rgb="FFC00000"/>
      </font>
    </dxf>
    <dxf>
      <font>
        <b/>
        <i val="0"/>
        <color rgb="FFC00000"/>
      </font>
    </dxf>
    <dxf>
      <numFmt numFmtId="167" formatCode=";;;"/>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theme="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numFmt numFmtId="167" formatCode=";;;"/>
    </dxf>
    <dxf>
      <font>
        <b/>
        <i val="0"/>
        <color rgb="FFC00000"/>
      </font>
    </dxf>
    <dxf>
      <numFmt numFmtId="166" formatCode="0.00000"/>
    </dxf>
    <dxf>
      <numFmt numFmtId="2" formatCode="0.00"/>
    </dxf>
    <dxf>
      <numFmt numFmtId="164" formatCode="0.0"/>
    </dxf>
    <dxf>
      <font>
        <b/>
        <i val="0"/>
        <color rgb="FFC00000"/>
      </font>
      <numFmt numFmtId="1" formatCode="0"/>
    </dxf>
    <dxf>
      <numFmt numFmtId="167" formatCode=";;;"/>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numFmt numFmtId="166" formatCode="0.00000"/>
    </dxf>
    <dxf>
      <numFmt numFmtId="167" formatCode=";;;"/>
    </dxf>
    <dxf>
      <font>
        <b/>
        <i val="0"/>
        <color rgb="FFC00000"/>
      </font>
      <numFmt numFmtId="1" formatCode="0"/>
    </dxf>
    <dxf>
      <numFmt numFmtId="2" formatCode="0.00"/>
    </dxf>
    <dxf>
      <numFmt numFmtId="164" formatCode="0.0"/>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solidFill>
                <a:effectLst>
                  <a:outerShdw blurRad="50800" dist="50800" dir="5400000" algn="ctr" rotWithShape="0">
                    <a:srgbClr val="000000">
                      <a:alpha val="43137"/>
                    </a:srgbClr>
                  </a:outerShdw>
                </a:effectLst>
                <a:latin typeface="+mn-lt"/>
                <a:ea typeface="+mn-ea"/>
                <a:cs typeface="+mn-cs"/>
              </a:defRPr>
            </a:pPr>
            <a:r>
              <a:rPr lang="en-US" sz="2000">
                <a:solidFill>
                  <a:schemeClr val="tx1"/>
                </a:solidFill>
                <a:effectLst>
                  <a:outerShdw blurRad="50800" dist="50800" dir="5400000" algn="ctr" rotWithShape="0">
                    <a:srgbClr val="000000">
                      <a:alpha val="43137"/>
                    </a:srgbClr>
                  </a:outerShdw>
                </a:effectLst>
              </a:rPr>
              <a:t>Particle Size Distribution</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solidFill>
              <a:effectLst>
                <a:outerShdw blurRad="50800" dist="50800" dir="5400000" algn="ctr" rotWithShape="0">
                  <a:srgbClr val="000000">
                    <a:alpha val="43137"/>
                  </a:srgbClr>
                </a:outerShdw>
              </a:effectLst>
              <a:latin typeface="+mn-lt"/>
              <a:ea typeface="+mn-ea"/>
              <a:cs typeface="+mn-cs"/>
            </a:defRPr>
          </a:pPr>
          <a:endParaRPr lang="en-US"/>
        </a:p>
      </c:txPr>
    </c:title>
    <c:autoTitleDeleted val="0"/>
    <c:plotArea>
      <c:layout>
        <c:manualLayout>
          <c:layoutTarget val="inner"/>
          <c:xMode val="edge"/>
          <c:yMode val="edge"/>
          <c:x val="6.7279752037574247E-2"/>
          <c:y val="0.14083241454246212"/>
          <c:w val="0.90398665216190077"/>
          <c:h val="0.71837237195850256"/>
        </c:manualLayout>
      </c:layout>
      <c:scatterChart>
        <c:scatterStyle val="lineMarker"/>
        <c:varyColors val="0"/>
        <c:ser>
          <c:idx val="0"/>
          <c:order val="0"/>
          <c:spPr>
            <a:ln w="19050" cap="rnd">
              <a:solidFill>
                <a:schemeClr val="accent2">
                  <a:lumMod val="50000"/>
                </a:schemeClr>
              </a:solidFill>
              <a:round/>
            </a:ln>
            <a:effectLst/>
          </c:spPr>
          <c:marker>
            <c:symbol val="circle"/>
            <c:size val="5"/>
            <c:spPr>
              <a:solidFill>
                <a:schemeClr val="accent2">
                  <a:lumMod val="50000"/>
                </a:schemeClr>
              </a:solidFill>
              <a:ln w="9525">
                <a:noFill/>
              </a:ln>
              <a:effectLst/>
            </c:spPr>
          </c:marker>
          <c:xVal>
            <c:numRef>
              <c:f>'Lab Data'!$E$71:$E$80</c:f>
              <c:numCache>
                <c:formatCode>General</c:formatCode>
                <c:ptCount val="10"/>
                <c:pt idx="0">
                  <c:v>7.4999999999999997E-2</c:v>
                </c:pt>
                <c:pt idx="1">
                  <c:v>4.0599999999999997E-2</c:v>
                </c:pt>
                <c:pt idx="2">
                  <c:v>2.9700000000000001E-2</c:v>
                </c:pt>
                <c:pt idx="3">
                  <c:v>2.18E-2</c:v>
                </c:pt>
                <c:pt idx="4">
                  <c:v>1.5800000000000002E-2</c:v>
                </c:pt>
                <c:pt idx="5">
                  <c:v>1.1900000000000001E-2</c:v>
                </c:pt>
                <c:pt idx="6">
                  <c:v>8.8000000000000005E-3</c:v>
                </c:pt>
                <c:pt idx="7">
                  <c:v>6.3E-3</c:v>
                </c:pt>
                <c:pt idx="8">
                  <c:v>3.2000000000000002E-3</c:v>
                </c:pt>
                <c:pt idx="9">
                  <c:v>1.4E-3</c:v>
                </c:pt>
              </c:numCache>
            </c:numRef>
          </c:xVal>
          <c:yVal>
            <c:numRef>
              <c:f>'Lab Data'!$F$71:$F$80</c:f>
              <c:numCache>
                <c:formatCode>0.0</c:formatCode>
                <c:ptCount val="10"/>
                <c:pt idx="0">
                  <c:v>52.5</c:v>
                </c:pt>
                <c:pt idx="1">
                  <c:v>75.8</c:v>
                </c:pt>
                <c:pt idx="2">
                  <c:v>67.400000000000006</c:v>
                </c:pt>
                <c:pt idx="3">
                  <c:v>58.8</c:v>
                </c:pt>
                <c:pt idx="4">
                  <c:v>51.1</c:v>
                </c:pt>
                <c:pt idx="5">
                  <c:v>44.2</c:v>
                </c:pt>
                <c:pt idx="6">
                  <c:v>31.3</c:v>
                </c:pt>
                <c:pt idx="7">
                  <c:v>25.1</c:v>
                </c:pt>
                <c:pt idx="8">
                  <c:v>20.6</c:v>
                </c:pt>
                <c:pt idx="9">
                  <c:v>6.6</c:v>
                </c:pt>
              </c:numCache>
            </c:numRef>
          </c:yVal>
          <c:smooth val="1"/>
          <c:extLst>
            <c:ext xmlns:c16="http://schemas.microsoft.com/office/drawing/2014/chart" uri="{C3380CC4-5D6E-409C-BE32-E72D297353CC}">
              <c16:uniqueId val="{00000000-E4A0-42E3-80BF-55FC6AFA47D1}"/>
            </c:ext>
          </c:extLst>
        </c:ser>
        <c:dLbls>
          <c:showLegendKey val="0"/>
          <c:showVal val="0"/>
          <c:showCatName val="0"/>
          <c:showSerName val="0"/>
          <c:showPercent val="0"/>
          <c:showBubbleSize val="0"/>
        </c:dLbls>
        <c:axId val="654999416"/>
        <c:axId val="655002368"/>
      </c:scatterChart>
      <c:valAx>
        <c:axId val="654999416"/>
        <c:scaling>
          <c:logBase val="10"/>
          <c:orientation val="maxMin"/>
          <c:max val="0.1"/>
        </c:scaling>
        <c:delete val="0"/>
        <c:axPos val="b"/>
        <c:minorGridlines>
          <c:spPr>
            <a:ln w="9525" cap="flat" cmpd="sng" algn="ctr">
              <a:solidFill>
                <a:schemeClr val="bg2">
                  <a:lumMod val="90000"/>
                </a:schemeClr>
              </a:solidFill>
              <a:round/>
            </a:ln>
            <a:effectLst/>
          </c:spPr>
        </c:min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chemeClr val="tx1"/>
                    </a:solidFill>
                  </a:rPr>
                  <a:t>Diameter (mm)</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655002368"/>
        <c:crosses val="autoZero"/>
        <c:crossBetween val="midCat"/>
      </c:valAx>
      <c:valAx>
        <c:axId val="655002368"/>
        <c:scaling>
          <c:orientation val="minMax"/>
          <c:max val="100"/>
        </c:scaling>
        <c:delete val="0"/>
        <c:axPos val="r"/>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a:solidFill>
                      <a:schemeClr val="tx1"/>
                    </a:solidFill>
                  </a:rPr>
                  <a:t>Percent</a:t>
                </a:r>
                <a:r>
                  <a:rPr lang="en-US" sz="1200" baseline="0">
                    <a:solidFill>
                      <a:schemeClr val="tx1"/>
                    </a:solidFill>
                  </a:rPr>
                  <a:t> Passing By Mass</a:t>
                </a:r>
                <a:endParaRPr lang="en-US" sz="1200">
                  <a:solidFill>
                    <a:schemeClr val="tx1"/>
                  </a:solidFill>
                </a:endParaRPr>
              </a:p>
            </c:rich>
          </c:tx>
          <c:layout>
            <c:manualLayout>
              <c:xMode val="edge"/>
              <c:yMode val="edge"/>
              <c:x val="1.0756325325176012E-2"/>
              <c:y val="0.30918236600633564"/>
            </c:manualLayout>
          </c:layout>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high"/>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654999416"/>
        <c:crosses val="autoZero"/>
        <c:crossBetween val="midCat"/>
      </c:valAx>
      <c:spPr>
        <a:noFill/>
        <a:ln>
          <a:noFill/>
        </a:ln>
        <a:effectLst>
          <a:softEdge rad="88900"/>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1905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1.xml><?xml version="1.0" encoding="utf-8"?>
<formControlPr xmlns="http://schemas.microsoft.com/office/spreadsheetml/2009/9/main" objectType="GBox" noThreeD="1"/>
</file>

<file path=xl/ctrlProps/ctrlProp12.xml><?xml version="1.0" encoding="utf-8"?>
<formControlPr xmlns="http://schemas.microsoft.com/office/spreadsheetml/2009/9/main" objectType="Radio" checked="Checked" firstButton="1" fmlaLink="$D$45"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checked="Checked" firstButton="1" fmlaLink="$E$45" lockText="1" noThreeD="1"/>
</file>

<file path=xl/ctrlProps/ctrlProp16.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Radio" firstButton="1" fmlaLink="$T$38" lockText="1" noThreeD="1"/>
</file>

<file path=xl/ctrlProps/ctrlProp3.xml><?xml version="1.0" encoding="utf-8"?>
<formControlPr xmlns="http://schemas.microsoft.com/office/spreadsheetml/2009/9/main" objectType="Radio" checked="Checked" lockText="1"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O$49" lockText="1" noThreeD="1"/>
</file>

<file path=xl/ctrlProps/ctrlProp6.xml><?xml version="1.0" encoding="utf-8"?>
<formControlPr xmlns="http://schemas.microsoft.com/office/spreadsheetml/2009/9/main" objectType="Radio" checked="Checked" lockText="1"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20</xdr:col>
          <xdr:colOff>0</xdr:colOff>
          <xdr:row>43</xdr:row>
          <xdr:rowOff>9525</xdr:rowOff>
        </xdr:to>
        <xdr:sp macro="" textlink="">
          <xdr:nvSpPr>
            <xdr:cNvPr id="1049" name="Group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37</xdr:row>
          <xdr:rowOff>0</xdr:rowOff>
        </xdr:from>
        <xdr:to>
          <xdr:col>17</xdr:col>
          <xdr:colOff>600075</xdr:colOff>
          <xdr:row>38</xdr:row>
          <xdr:rowOff>0</xdr:rowOff>
        </xdr:to>
        <xdr:sp macro="" textlink="">
          <xdr:nvSpPr>
            <xdr:cNvPr id="1058" name="Option Button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9525</xdr:colOff>
          <xdr:row>36</xdr:row>
          <xdr:rowOff>190500</xdr:rowOff>
        </xdr:from>
        <xdr:to>
          <xdr:col>18</xdr:col>
          <xdr:colOff>600075</xdr:colOff>
          <xdr:row>38</xdr:row>
          <xdr:rowOff>9525</xdr:rowOff>
        </xdr:to>
        <xdr:sp macro="" textlink="">
          <xdr:nvSpPr>
            <xdr:cNvPr id="1059" name="Option Button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47</xdr:row>
          <xdr:rowOff>0</xdr:rowOff>
        </xdr:from>
        <xdr:to>
          <xdr:col>20</xdr:col>
          <xdr:colOff>0</xdr:colOff>
          <xdr:row>49</xdr:row>
          <xdr:rowOff>9525</xdr:rowOff>
        </xdr:to>
        <xdr:sp macro="" textlink="">
          <xdr:nvSpPr>
            <xdr:cNvPr id="1060" name="Group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0</xdr:colOff>
          <xdr:row>47</xdr:row>
          <xdr:rowOff>190500</xdr:rowOff>
        </xdr:from>
        <xdr:to>
          <xdr:col>13</xdr:col>
          <xdr:colOff>9525</xdr:colOff>
          <xdr:row>49</xdr:row>
          <xdr:rowOff>0</xdr:rowOff>
        </xdr:to>
        <xdr:sp macro="" textlink="">
          <xdr:nvSpPr>
            <xdr:cNvPr id="1061" name="Option Button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Companion Measurements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47</xdr:row>
          <xdr:rowOff>190500</xdr:rowOff>
        </xdr:from>
        <xdr:to>
          <xdr:col>17</xdr:col>
          <xdr:colOff>9525</xdr:colOff>
          <xdr:row>49</xdr:row>
          <xdr:rowOff>0</xdr:rowOff>
        </xdr:to>
        <xdr:sp macro="" textlink="">
          <xdr:nvSpPr>
            <xdr:cNvPr id="1062" name="Option Button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n-US" sz="1100" b="0" i="0" u="none" strike="noStrike" baseline="0">
                  <a:solidFill>
                    <a:srgbClr val="000000"/>
                  </a:solidFill>
                  <a:latin typeface="Calibri"/>
                  <a:ea typeface="Calibri"/>
                  <a:cs typeface="Calibri"/>
                </a:rPr>
                <a:t>Calibration Relationship</a:t>
              </a:r>
            </a:p>
          </xdr:txBody>
        </xdr:sp>
        <xdr:clientData/>
      </xdr:twoCellAnchor>
    </mc:Choice>
    <mc:Fallback/>
  </mc:AlternateContent>
  <xdr:twoCellAnchor>
    <xdr:from>
      <xdr:col>1</xdr:col>
      <xdr:colOff>9525</xdr:colOff>
      <xdr:row>67</xdr:row>
      <xdr:rowOff>4761</xdr:rowOff>
    </xdr:from>
    <xdr:to>
      <xdr:col>20</xdr:col>
      <xdr:colOff>1</xdr:colOff>
      <xdr:row>87</xdr:row>
      <xdr:rowOff>190500</xdr:rowOff>
    </xdr:to>
    <xdr:graphicFrame macro="">
      <xdr:nvGraphicFramePr>
        <xdr:cNvPr id="2" name="Chart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0</xdr:colOff>
          <xdr:row>34</xdr:row>
          <xdr:rowOff>0</xdr:rowOff>
        </xdr:from>
        <xdr:to>
          <xdr:col>6</xdr:col>
          <xdr:colOff>0</xdr:colOff>
          <xdr:row>36</xdr:row>
          <xdr:rowOff>0</xdr:rowOff>
        </xdr:to>
        <xdr:sp macro="" textlink="">
          <xdr:nvSpPr>
            <xdr:cNvPr id="4114" name="Group Box 18" hidden="1">
              <a:extLst>
                <a:ext uri="{63B3BB69-23CF-44E3-9099-C40C66FF867C}">
                  <a14:compatExt spid="_x0000_s4114"/>
                </a:ext>
                <a:ext uri="{FF2B5EF4-FFF2-40B4-BE49-F238E27FC236}">
                  <a16:creationId xmlns:a16="http://schemas.microsoft.com/office/drawing/2014/main" id="{00000000-0008-0000-0100-000012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34</xdr:row>
          <xdr:rowOff>0</xdr:rowOff>
        </xdr:from>
        <xdr:to>
          <xdr:col>7</xdr:col>
          <xdr:colOff>0</xdr:colOff>
          <xdr:row>36</xdr:row>
          <xdr:rowOff>0</xdr:rowOff>
        </xdr:to>
        <xdr:sp macro="" textlink="">
          <xdr:nvSpPr>
            <xdr:cNvPr id="4118" name="Group Box 22" hidden="1">
              <a:extLst>
                <a:ext uri="{63B3BB69-23CF-44E3-9099-C40C66FF867C}">
                  <a14:compatExt spid="_x0000_s4118"/>
                </a:ext>
                <a:ext uri="{FF2B5EF4-FFF2-40B4-BE49-F238E27FC236}">
                  <a16:creationId xmlns:a16="http://schemas.microsoft.com/office/drawing/2014/main" id="{00000000-0008-0000-0100-000016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34</xdr:row>
          <xdr:rowOff>0</xdr:rowOff>
        </xdr:from>
        <xdr:to>
          <xdr:col>6</xdr:col>
          <xdr:colOff>0</xdr:colOff>
          <xdr:row>36</xdr:row>
          <xdr:rowOff>0</xdr:rowOff>
        </xdr:to>
        <xdr:sp macro="" textlink="">
          <xdr:nvSpPr>
            <xdr:cNvPr id="4126" name="Group Box 30" hidden="1">
              <a:extLst>
                <a:ext uri="{63B3BB69-23CF-44E3-9099-C40C66FF867C}">
                  <a14:compatExt spid="_x0000_s4126"/>
                </a:ext>
                <a:ext uri="{FF2B5EF4-FFF2-40B4-BE49-F238E27FC236}">
                  <a16:creationId xmlns:a16="http://schemas.microsoft.com/office/drawing/2014/main" id="{00000000-0008-0000-0100-00001E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34</xdr:row>
          <xdr:rowOff>0</xdr:rowOff>
        </xdr:from>
        <xdr:to>
          <xdr:col>7</xdr:col>
          <xdr:colOff>0</xdr:colOff>
          <xdr:row>36</xdr:row>
          <xdr:rowOff>0</xdr:rowOff>
        </xdr:to>
        <xdr:sp macro="" textlink="">
          <xdr:nvSpPr>
            <xdr:cNvPr id="4129" name="Group Box 33" hidden="1">
              <a:extLst>
                <a:ext uri="{63B3BB69-23CF-44E3-9099-C40C66FF867C}">
                  <a14:compatExt spid="_x0000_s4129"/>
                </a:ext>
                <a:ext uri="{FF2B5EF4-FFF2-40B4-BE49-F238E27FC236}">
                  <a16:creationId xmlns:a16="http://schemas.microsoft.com/office/drawing/2014/main" id="{00000000-0008-0000-0100-0000211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2619375</xdr:colOff>
          <xdr:row>44</xdr:row>
          <xdr:rowOff>0</xdr:rowOff>
        </xdr:from>
        <xdr:to>
          <xdr:col>4</xdr:col>
          <xdr:colOff>0</xdr:colOff>
          <xdr:row>46</xdr:row>
          <xdr:rowOff>0</xdr:rowOff>
        </xdr:to>
        <xdr:sp macro="" textlink="">
          <xdr:nvSpPr>
            <xdr:cNvPr id="2070" name="Group Box 22" hidden="1">
              <a:extLst>
                <a:ext uri="{63B3BB69-23CF-44E3-9099-C40C66FF867C}">
                  <a14:compatExt spid="_x0000_s2070"/>
                </a:ext>
                <a:ext uri="{FF2B5EF4-FFF2-40B4-BE49-F238E27FC236}">
                  <a16:creationId xmlns:a16="http://schemas.microsoft.com/office/drawing/2014/main" id="{00000000-0008-0000-0200-00001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44</xdr:row>
          <xdr:rowOff>38100</xdr:rowOff>
        </xdr:from>
        <xdr:to>
          <xdr:col>3</xdr:col>
          <xdr:colOff>1190625</xdr:colOff>
          <xdr:row>44</xdr:row>
          <xdr:rowOff>180975</xdr:rowOff>
        </xdr:to>
        <xdr:sp macro="" textlink="">
          <xdr:nvSpPr>
            <xdr:cNvPr id="2071" name="Option Button 23" hidden="1">
              <a:extLst>
                <a:ext uri="{63B3BB69-23CF-44E3-9099-C40C66FF867C}">
                  <a14:compatExt spid="_x0000_s2071"/>
                </a:ext>
                <a:ext uri="{FF2B5EF4-FFF2-40B4-BE49-F238E27FC236}">
                  <a16:creationId xmlns:a16="http://schemas.microsoft.com/office/drawing/2014/main" id="{00000000-0008-0000-02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Direct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45</xdr:row>
          <xdr:rowOff>9525</xdr:rowOff>
        </xdr:from>
        <xdr:to>
          <xdr:col>3</xdr:col>
          <xdr:colOff>1190625</xdr:colOff>
          <xdr:row>45</xdr:row>
          <xdr:rowOff>171450</xdr:rowOff>
        </xdr:to>
        <xdr:sp macro="" textlink="">
          <xdr:nvSpPr>
            <xdr:cNvPr id="2072" name="Option Button 24" hidden="1">
              <a:extLst>
                <a:ext uri="{63B3BB69-23CF-44E3-9099-C40C66FF867C}">
                  <a14:compatExt spid="_x0000_s2072"/>
                </a:ext>
                <a:ext uri="{FF2B5EF4-FFF2-40B4-BE49-F238E27FC236}">
                  <a16:creationId xmlns:a16="http://schemas.microsoft.com/office/drawing/2014/main" id="{00000000-0008-0000-02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Indirect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1209675</xdr:colOff>
          <xdr:row>44</xdr:row>
          <xdr:rowOff>0</xdr:rowOff>
        </xdr:from>
        <xdr:to>
          <xdr:col>5</xdr:col>
          <xdr:colOff>0</xdr:colOff>
          <xdr:row>46</xdr:row>
          <xdr:rowOff>0</xdr:rowOff>
        </xdr:to>
        <xdr:sp macro="" textlink="">
          <xdr:nvSpPr>
            <xdr:cNvPr id="2094" name="Group Box 46" hidden="1">
              <a:extLst>
                <a:ext uri="{63B3BB69-23CF-44E3-9099-C40C66FF867C}">
                  <a14:compatExt spid="_x0000_s2094"/>
                </a:ext>
                <a:ext uri="{FF2B5EF4-FFF2-40B4-BE49-F238E27FC236}">
                  <a16:creationId xmlns:a16="http://schemas.microsoft.com/office/drawing/2014/main" id="{00000000-0008-0000-0200-00002E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44</xdr:row>
          <xdr:rowOff>28575</xdr:rowOff>
        </xdr:from>
        <xdr:to>
          <xdr:col>4</xdr:col>
          <xdr:colOff>1190625</xdr:colOff>
          <xdr:row>44</xdr:row>
          <xdr:rowOff>180975</xdr:rowOff>
        </xdr:to>
        <xdr:sp macro="" textlink="">
          <xdr:nvSpPr>
            <xdr:cNvPr id="2095" name="Option Button 47" hidden="1">
              <a:extLst>
                <a:ext uri="{63B3BB69-23CF-44E3-9099-C40C66FF867C}">
                  <a14:compatExt spid="_x0000_s2095"/>
                </a:ext>
                <a:ext uri="{FF2B5EF4-FFF2-40B4-BE49-F238E27FC236}">
                  <a16:creationId xmlns:a16="http://schemas.microsoft.com/office/drawing/2014/main" id="{00000000-0008-0000-02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Direct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xdr:colOff>
          <xdr:row>45</xdr:row>
          <xdr:rowOff>9525</xdr:rowOff>
        </xdr:from>
        <xdr:to>
          <xdr:col>4</xdr:col>
          <xdr:colOff>1190625</xdr:colOff>
          <xdr:row>45</xdr:row>
          <xdr:rowOff>152400</xdr:rowOff>
        </xdr:to>
        <xdr:sp macro="" textlink="">
          <xdr:nvSpPr>
            <xdr:cNvPr id="2096" name="Option Button 48" hidden="1">
              <a:extLst>
                <a:ext uri="{63B3BB69-23CF-44E3-9099-C40C66FF867C}">
                  <a14:compatExt spid="_x0000_s2096"/>
                </a:ext>
                <a:ext uri="{FF2B5EF4-FFF2-40B4-BE49-F238E27FC236}">
                  <a16:creationId xmlns:a16="http://schemas.microsoft.com/office/drawing/2014/main" id="{00000000-0008-0000-02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Indirect</a:t>
              </a:r>
            </a:p>
          </xdr:txBody>
        </xdr:sp>
        <xdr:clientData/>
      </xdr:twoCellAnchor>
    </mc:Choice>
    <mc:Fallback/>
  </mc:AlternateContent>
</xdr:wsDr>
</file>

<file path=xl/persons/person.xml><?xml version="1.0" encoding="utf-8"?>
<personList xmlns="http://schemas.microsoft.com/office/spreadsheetml/2018/threadedcomments" xmlns:x="http://schemas.openxmlformats.org/spreadsheetml/2006/main">
  <person displayName="Pete Holter" id="{3B8AFBF7-06BB-499F-A46D-54561FE29C26}" userId="S::pholter@aashtoresource.org::1036e627-a4e0-4a0e-98c0-b1dcf620d94f" providerId="AD"/>
</personLis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37" dT="2019-11-05T18:27:23.95" personId="{3B8AFBF7-06BB-499F-A46D-54561FE29C26}" id="{79D8A65B-7EF9-4352-8E5D-EF1C447829EF}">
    <text>Section 9.5: "Estimate the amount of moist mass needed for the sedimentation test..."</text>
  </threadedComment>
  <threadedComment ref="B46" dT="2019-11-05T18:28:01.09" personId="{3B8AFBF7-06BB-499F-A46D-54561FE29C26}" id="{CC703DEC-0079-4520-B799-FAE72CCC4D54}">
    <text>Section 9.8: "Record the mass of the moist soil, Mm, used for the sedimentation test..."</text>
  </threadedComment>
</ThreadedComments>
</file>

<file path=xl/threadedComments/threadedComment2.xml><?xml version="1.0" encoding="utf-8"?>
<ThreadedComments xmlns="http://schemas.microsoft.com/office/spreadsheetml/2018/threadedcomments" xmlns:x="http://schemas.openxmlformats.org/spreadsheetml/2006/main">
  <threadedComment ref="B12" dT="2019-11-10T19:06:14.35" personId="{3B8AFBF7-06BB-499F-A46D-54561FE29C26}" id="{1DF66B90-D24C-4713-9396-74681B11059C}">
    <text>Section 10.1: "Check and record the dimensions of the 151H or 152H hydrometers as presented in Annex A1..."  However, Hr1 and Hr2 are included below with the bulb volume determination.</text>
  </threadedComment>
  <threadedComment ref="B23" dT="2019-11-10T19:08:37.78" personId="{3B8AFBF7-06BB-499F-A46D-54561FE29C26}" id="{E5588665-C2AB-4833-8A93-F2145A8BDE4A}">
    <text>Section A1.3.3: "Points—The 152H hydrometer should read 0.0 +/- 1 g/L and 1.000 +/- 0.001 specific gravity for the 151H hydrometer at the bottom of the meniscus when placed in distilled water that is free of gas bubbles at the calibration temperature of the hydrometers."</text>
  </threadedComment>
  <threadedComment ref="B25" dT="2019-11-10T19:10:42.77" personId="{3B8AFBF7-06BB-499F-A46D-54561FE29C26}" id="{A1B874FE-0215-4FA0-BB28-D0CF9A1E2C29}">
    <text>Section A1.3.3: "At temperatures other than the calibration temperature of the hydrometer, the required reading shall be adjusted..."</text>
  </threadedComment>
  <threadedComment ref="B27" dT="2019-11-10T19:13:39.82" personId="{3B8AFBF7-06BB-499F-A46D-54561FE29C26}" id="{B7E58F55-9A33-4178-8A51-BDD5E2212E61}">
    <text>Section 10.2.2: "This option generates a
general calibration relationship between the hydrometer reading of a control cylinder filled with the reference solution and the temperature, which eliminates the need for companion measurements during the test."</text>
  </threadedComment>
  <threadedComment ref="B38" dT="2019-11-10T19:18:04.89" personId="{3B8AFBF7-06BB-499F-A46D-54561FE29C26}" id="{3A616A23-A797-4D11-9EC0-0FFFC923091F}">
    <text>Sections 10.2.2.1 and 10.2.2.2: "The standard deviation of the 5 [hydrometer] measurements shall
be less than 0.0005 [for a 151H hydrometer] and less than 0.5 g/L [for a 152H hydrometer.]"</text>
  </threadedComment>
  <threadedComment ref="B40" dT="2019-11-10T19:16:03.90" personId="{3B8AFBF7-06BB-499F-A46D-54561FE29C26}" id="{EBA7C4A8-5735-4E9A-9F25-073B9C1C5BE0}">
    <text>Section 10.3: "Hydrometers are designed to be read at the fluid surface..."</text>
  </threadedComment>
  <threadedComment ref="B45" dT="2019-11-07T17:17:04.37" personId="{3B8AFBF7-06BB-499F-A46D-54561FE29C26}" id="{D8B6E3FD-BD54-4B86-9257-2244EF533971}">
    <text>The volume determination required by Sections 10.4.1 and A1.3.4 does not necessitate three trials for the indirect method.  However, Figure X1.4 shows the volume being determined by the indirect method, and includes data for three trials.  In case the intention of Section A1.3.4 is to require three trials for either method, this spreadsheet requires three trials for both methods.</text>
  </threadedComment>
  <threadedComment ref="B66" dT="2019-11-10T19:08:37.78" personId="{3B8AFBF7-06BB-499F-A46D-54561FE29C26}" id="{8787CD3D-DB27-4036-A1C1-435B950B8FDB}">
    <text>Section A1.3.3: "Points—The 152H hydrometer should read 0.0 +/- 1 g/L and 1.000 +/- 0.001 specific gravity for the 151H hydrometer at the bottom of the meniscus when placed in distilled water that is free of gas bubbles at the calibration temperature of the hydrometers."</text>
  </threadedComment>
  <threadedComment ref="B68" dT="2019-11-10T19:10:42.77" personId="{3B8AFBF7-06BB-499F-A46D-54561FE29C26}" id="{B62768EA-F1C5-46D0-AB94-E8BE097EC3E5}">
    <text>Section A1.3.3: "At temperatures other than the calibration temperature of the hydrometer, the required reading shall be adjusted..."</text>
  </threadedComment>
  <threadedComment ref="B74" dT="2019-11-10T19:08:37.78" personId="{3B8AFBF7-06BB-499F-A46D-54561FE29C26}" id="{999E6EA2-8266-43CD-AB04-1A9DA4493858}">
    <text>Section A1.3.3: "Points—The 152H hydrometer should read 0.0 +/- 1 g/L and 1.000 +/- 0.001 specific gravity for the 151H hydrometer at the bottom of the meniscus when placed in distilled water that is free of gas bubbles at the calibration temperature of the hydrometers."</text>
  </threadedComment>
  <threadedComment ref="B76" dT="2019-11-10T19:10:42.77" personId="{3B8AFBF7-06BB-499F-A46D-54561FE29C26}" id="{506246E9-97F5-4C9D-AC1E-2E4D2663ADC2}">
    <text>Section A1.3.3: "At temperatures other than the calibration temperature of the hydrometer, the required reading shall be adjusted..."</text>
  </threadedComment>
</ThreadedComments>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microsoft.com/office/2017/10/relationships/threadedComment" Target="../threadedComments/threadedComment1.xml"/><Relationship Id="rId5" Type="http://schemas.openxmlformats.org/officeDocument/2006/relationships/ctrlProp" Target="../ctrlProps/ctrlProp2.xml"/><Relationship Id="rId10" Type="http://schemas.openxmlformats.org/officeDocument/2006/relationships/comments" Target="../comments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vmlDrawing" Target="../drawings/vmlDrawing2.vml"/><Relationship Id="rId7" Type="http://schemas.openxmlformats.org/officeDocument/2006/relationships/ctrlProp" Target="../ctrlProps/ctrlProp10.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5.xml"/><Relationship Id="rId3" Type="http://schemas.openxmlformats.org/officeDocument/2006/relationships/vmlDrawing" Target="../drawings/vmlDrawing3.vml"/><Relationship Id="rId7" Type="http://schemas.openxmlformats.org/officeDocument/2006/relationships/ctrlProp" Target="../ctrlProps/ctrlProp1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13.xml"/><Relationship Id="rId11" Type="http://schemas.microsoft.com/office/2017/10/relationships/threadedComment" Target="../threadedComments/threadedComment2.xml"/><Relationship Id="rId5" Type="http://schemas.openxmlformats.org/officeDocument/2006/relationships/ctrlProp" Target="../ctrlProps/ctrlProp12.xml"/><Relationship Id="rId10" Type="http://schemas.openxmlformats.org/officeDocument/2006/relationships/comments" Target="../comments3.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T135"/>
  <sheetViews>
    <sheetView tabSelected="1" zoomScaleNormal="100" workbookViewId="0">
      <selection activeCell="B55" sqref="B55"/>
    </sheetView>
  </sheetViews>
  <sheetFormatPr defaultRowHeight="15" x14ac:dyDescent="0.25"/>
  <cols>
    <col min="1" max="1" width="7.28515625" customWidth="1"/>
    <col min="5" max="5" width="9.140625" customWidth="1"/>
    <col min="9" max="9" width="9.140625" customWidth="1"/>
    <col min="21" max="21" width="7.28515625" customWidth="1"/>
  </cols>
  <sheetData>
    <row r="1" spans="2:20" ht="15.75" thickBot="1" x14ac:dyDescent="0.3"/>
    <row r="2" spans="2:20" ht="32.25" thickTop="1" x14ac:dyDescent="0.5">
      <c r="B2" s="308" t="s">
        <v>225</v>
      </c>
      <c r="C2" s="309"/>
      <c r="D2" s="309"/>
      <c r="E2" s="309"/>
      <c r="F2" s="309"/>
      <c r="G2" s="309"/>
      <c r="H2" s="309"/>
      <c r="I2" s="309"/>
      <c r="J2" s="309"/>
      <c r="K2" s="309"/>
      <c r="L2" s="309"/>
      <c r="M2" s="309"/>
      <c r="N2" s="309"/>
      <c r="O2" s="309"/>
      <c r="P2" s="309"/>
      <c r="Q2" s="309"/>
      <c r="R2" s="309"/>
      <c r="S2" s="309"/>
      <c r="T2" s="310"/>
    </row>
    <row r="3" spans="2:20" ht="21.75" thickBot="1" x14ac:dyDescent="0.4">
      <c r="B3" s="311" t="s">
        <v>23</v>
      </c>
      <c r="C3" s="312"/>
      <c r="D3" s="312"/>
      <c r="E3" s="312"/>
      <c r="F3" s="312"/>
      <c r="G3" s="312"/>
      <c r="H3" s="312"/>
      <c r="I3" s="312"/>
      <c r="J3" s="312"/>
      <c r="K3" s="312"/>
      <c r="L3" s="312"/>
      <c r="M3" s="312"/>
      <c r="N3" s="312"/>
      <c r="O3" s="312"/>
      <c r="P3" s="312"/>
      <c r="Q3" s="312"/>
      <c r="R3" s="312"/>
      <c r="S3" s="312"/>
      <c r="T3" s="313"/>
    </row>
    <row r="4" spans="2:20" ht="15.75" customHeight="1" thickTop="1" x14ac:dyDescent="0.25">
      <c r="B4" s="314" t="s">
        <v>108</v>
      </c>
      <c r="C4" s="315"/>
      <c r="D4" s="315"/>
      <c r="E4" s="315"/>
      <c r="F4" s="315"/>
      <c r="G4" s="315"/>
      <c r="H4" s="315"/>
      <c r="I4" s="315"/>
      <c r="J4" s="315"/>
      <c r="K4" s="315"/>
      <c r="L4" s="315"/>
      <c r="M4" s="315"/>
      <c r="N4" s="315"/>
      <c r="O4" s="315"/>
      <c r="P4" s="315"/>
      <c r="Q4" s="315"/>
      <c r="R4" s="315"/>
      <c r="S4" s="315"/>
      <c r="T4" s="316"/>
    </row>
    <row r="5" spans="2:20" ht="15.75" customHeight="1" x14ac:dyDescent="0.35">
      <c r="B5" s="205" t="s">
        <v>84</v>
      </c>
      <c r="C5" s="206"/>
      <c r="D5" s="206"/>
      <c r="E5" s="216"/>
      <c r="F5" s="216"/>
      <c r="G5" s="216"/>
      <c r="H5" s="216"/>
      <c r="I5" s="216"/>
      <c r="J5" s="216"/>
      <c r="K5" s="15"/>
      <c r="L5" s="206" t="s">
        <v>85</v>
      </c>
      <c r="M5" s="206"/>
      <c r="N5" s="216"/>
      <c r="O5" s="216"/>
      <c r="P5" s="216"/>
      <c r="Q5" s="216"/>
      <c r="R5" s="216"/>
      <c r="S5" s="216"/>
      <c r="T5" s="158"/>
    </row>
    <row r="6" spans="2:20" s="15" customFormat="1" ht="15.75" customHeight="1" x14ac:dyDescent="0.25">
      <c r="B6" s="205" t="s">
        <v>107</v>
      </c>
      <c r="C6" s="206"/>
      <c r="D6" s="206"/>
      <c r="E6" s="217"/>
      <c r="F6" s="217"/>
      <c r="G6" s="217"/>
      <c r="H6" s="217"/>
      <c r="I6" s="217"/>
      <c r="J6" s="217"/>
      <c r="L6" s="206" t="s">
        <v>86</v>
      </c>
      <c r="M6" s="206"/>
      <c r="N6" s="217"/>
      <c r="O6" s="217"/>
      <c r="P6" s="217"/>
      <c r="Q6" s="217"/>
      <c r="R6" s="217"/>
      <c r="S6" s="217"/>
      <c r="T6" s="159"/>
    </row>
    <row r="7" spans="2:20" s="15" customFormat="1" ht="15.75" customHeight="1" thickBot="1" x14ac:dyDescent="0.3">
      <c r="B7" s="212" t="s">
        <v>106</v>
      </c>
      <c r="C7" s="213"/>
      <c r="D7" s="213"/>
      <c r="E7" s="234"/>
      <c r="F7" s="234"/>
      <c r="G7" s="234"/>
      <c r="H7" s="234"/>
      <c r="I7" s="234"/>
      <c r="J7" s="234"/>
      <c r="K7" s="154"/>
      <c r="L7" s="213" t="s">
        <v>87</v>
      </c>
      <c r="M7" s="213"/>
      <c r="N7" s="225"/>
      <c r="O7" s="225"/>
      <c r="P7" s="225"/>
      <c r="Q7" s="225"/>
      <c r="R7" s="225"/>
      <c r="S7" s="225"/>
      <c r="T7" s="160"/>
    </row>
    <row r="8" spans="2:20" s="15" customFormat="1" ht="15.75" customHeight="1" x14ac:dyDescent="0.25">
      <c r="B8" s="229" t="s">
        <v>190</v>
      </c>
      <c r="C8" s="221"/>
      <c r="D8" s="221"/>
      <c r="E8" s="221"/>
      <c r="F8" s="221"/>
      <c r="G8" s="221"/>
      <c r="H8" s="221"/>
      <c r="I8" s="221"/>
      <c r="J8" s="221"/>
      <c r="K8" s="221"/>
      <c r="L8" s="221"/>
      <c r="M8" s="221"/>
      <c r="N8" s="221"/>
      <c r="O8" s="221"/>
      <c r="P8" s="221"/>
      <c r="Q8" s="221"/>
      <c r="R8" s="221"/>
      <c r="S8" s="221"/>
      <c r="T8" s="222"/>
    </row>
    <row r="9" spans="2:20" s="15" customFormat="1" ht="15.75" customHeight="1" x14ac:dyDescent="0.25">
      <c r="B9" s="205" t="s">
        <v>109</v>
      </c>
      <c r="C9" s="206"/>
      <c r="D9" s="206"/>
      <c r="E9" s="224"/>
      <c r="F9" s="224"/>
      <c r="G9" s="224"/>
      <c r="H9" s="224"/>
      <c r="I9" s="224"/>
      <c r="J9" s="224"/>
      <c r="T9" s="161"/>
    </row>
    <row r="10" spans="2:20" s="15" customFormat="1" ht="15.75" customHeight="1" x14ac:dyDescent="0.25">
      <c r="B10" s="205" t="s">
        <v>88</v>
      </c>
      <c r="C10" s="206"/>
      <c r="D10" s="206"/>
      <c r="E10" s="217"/>
      <c r="F10" s="217"/>
      <c r="G10" s="217"/>
      <c r="H10" s="217"/>
      <c r="I10" s="217"/>
      <c r="J10" s="217"/>
      <c r="L10" s="206" t="s">
        <v>89</v>
      </c>
      <c r="M10" s="206"/>
      <c r="N10" s="224"/>
      <c r="O10" s="224"/>
      <c r="P10" s="224"/>
      <c r="Q10" s="224"/>
      <c r="R10" s="224"/>
      <c r="S10" s="224"/>
      <c r="T10" s="162"/>
    </row>
    <row r="11" spans="2:20" s="15" customFormat="1" ht="15.75" customHeight="1" x14ac:dyDescent="0.25">
      <c r="B11" s="205" t="s">
        <v>91</v>
      </c>
      <c r="C11" s="206"/>
      <c r="D11" s="206"/>
      <c r="E11" s="217"/>
      <c r="F11" s="217"/>
      <c r="G11" s="217"/>
      <c r="H11" s="217"/>
      <c r="I11" s="217"/>
      <c r="J11" s="217"/>
      <c r="L11" s="206" t="s">
        <v>90</v>
      </c>
      <c r="M11" s="206"/>
      <c r="N11" s="223"/>
      <c r="O11" s="223"/>
      <c r="P11" s="223"/>
      <c r="Q11" s="223"/>
      <c r="R11" s="223"/>
      <c r="S11" s="223"/>
      <c r="T11" s="162"/>
    </row>
    <row r="12" spans="2:20" s="15" customFormat="1" ht="15.75" customHeight="1" x14ac:dyDescent="0.25">
      <c r="B12" s="155"/>
      <c r="T12" s="161"/>
    </row>
    <row r="13" spans="2:20" s="15" customFormat="1" ht="15.75" customHeight="1" x14ac:dyDescent="0.25">
      <c r="B13" s="155" t="s">
        <v>94</v>
      </c>
      <c r="G13" s="226"/>
      <c r="H13" s="226"/>
      <c r="I13" s="226"/>
      <c r="J13" s="226"/>
      <c r="K13" s="226"/>
      <c r="L13" s="226"/>
      <c r="M13" s="226"/>
      <c r="N13" s="226"/>
      <c r="O13" s="226"/>
      <c r="P13" s="226"/>
      <c r="Q13" s="226"/>
      <c r="R13" s="226"/>
      <c r="S13" s="226"/>
      <c r="T13" s="162"/>
    </row>
    <row r="14" spans="2:20" s="15" customFormat="1" ht="15.75" customHeight="1" x14ac:dyDescent="0.25">
      <c r="B14" s="155" t="s">
        <v>93</v>
      </c>
      <c r="G14" s="227"/>
      <c r="H14" s="227"/>
      <c r="I14" s="227"/>
      <c r="J14" s="227"/>
      <c r="K14" s="227"/>
      <c r="L14" s="227"/>
      <c r="M14" s="227"/>
      <c r="N14" s="227"/>
      <c r="O14" s="227"/>
      <c r="P14" s="227"/>
      <c r="Q14" s="227"/>
      <c r="R14" s="227"/>
      <c r="S14" s="227"/>
      <c r="T14" s="162"/>
    </row>
    <row r="15" spans="2:20" s="15" customFormat="1" ht="15.75" customHeight="1" x14ac:dyDescent="0.25">
      <c r="B15" s="155" t="s">
        <v>110</v>
      </c>
      <c r="G15" s="227"/>
      <c r="H15" s="227"/>
      <c r="I15" s="227"/>
      <c r="J15" s="227"/>
      <c r="K15" s="227"/>
      <c r="L15" s="227"/>
      <c r="M15" s="227"/>
      <c r="N15" s="227"/>
      <c r="O15" s="227"/>
      <c r="P15" s="227"/>
      <c r="Q15" s="227"/>
      <c r="R15" s="227"/>
      <c r="S15" s="227"/>
      <c r="T15" s="162"/>
    </row>
    <row r="16" spans="2:20" s="15" customFormat="1" ht="15.75" customHeight="1" thickBot="1" x14ac:dyDescent="0.3">
      <c r="B16" s="163" t="s">
        <v>101</v>
      </c>
      <c r="C16" s="154"/>
      <c r="D16" s="154"/>
      <c r="E16" s="154"/>
      <c r="F16" s="154"/>
      <c r="G16" s="228"/>
      <c r="H16" s="228"/>
      <c r="I16" s="228"/>
      <c r="J16" s="228"/>
      <c r="K16" s="228"/>
      <c r="L16" s="228"/>
      <c r="M16" s="228"/>
      <c r="N16" s="228"/>
      <c r="O16" s="228"/>
      <c r="P16" s="228"/>
      <c r="Q16" s="228"/>
      <c r="R16" s="228"/>
      <c r="S16" s="228"/>
      <c r="T16" s="160"/>
    </row>
    <row r="17" spans="2:20" s="15" customFormat="1" ht="15.75" customHeight="1" x14ac:dyDescent="0.25">
      <c r="B17" s="229" t="s">
        <v>95</v>
      </c>
      <c r="C17" s="221"/>
      <c r="D17" s="221"/>
      <c r="E17" s="221"/>
      <c r="F17" s="221"/>
      <c r="G17" s="221"/>
      <c r="H17" s="221"/>
      <c r="I17" s="221"/>
      <c r="J17" s="221"/>
      <c r="K17" s="221"/>
      <c r="L17" s="221"/>
      <c r="M17" s="221"/>
      <c r="N17" s="221"/>
      <c r="O17" s="221"/>
      <c r="P17" s="221"/>
      <c r="Q17" s="221"/>
      <c r="R17" s="221"/>
      <c r="S17" s="221"/>
      <c r="T17" s="222"/>
    </row>
    <row r="18" spans="2:20" s="15" customFormat="1" ht="15.75" customHeight="1" x14ac:dyDescent="0.25">
      <c r="B18" s="205" t="s">
        <v>97</v>
      </c>
      <c r="C18" s="206"/>
      <c r="D18" s="206"/>
      <c r="E18" s="206"/>
      <c r="F18" s="216"/>
      <c r="G18" s="216"/>
      <c r="H18" s="216"/>
      <c r="I18" s="216"/>
      <c r="J18" s="216"/>
      <c r="L18" s="206" t="s">
        <v>96</v>
      </c>
      <c r="M18" s="206"/>
      <c r="N18" s="206"/>
      <c r="O18" s="216" t="s">
        <v>137</v>
      </c>
      <c r="P18" s="216"/>
      <c r="Q18" s="216"/>
      <c r="R18" s="216"/>
      <c r="S18" s="216"/>
      <c r="T18" s="161"/>
    </row>
    <row r="19" spans="2:20" s="15" customFormat="1" ht="15.75" customHeight="1" x14ac:dyDescent="0.25">
      <c r="B19" s="155" t="s">
        <v>140</v>
      </c>
      <c r="F19" s="217">
        <v>0.1</v>
      </c>
      <c r="G19" s="217"/>
      <c r="H19" s="217"/>
      <c r="I19" s="217"/>
      <c r="J19" s="217"/>
      <c r="L19" s="206" t="s">
        <v>105</v>
      </c>
      <c r="M19" s="206"/>
      <c r="N19" s="206"/>
      <c r="O19" s="217" t="s">
        <v>215</v>
      </c>
      <c r="P19" s="217"/>
      <c r="Q19" s="217"/>
      <c r="R19" s="217"/>
      <c r="S19" s="217"/>
      <c r="T19" s="161"/>
    </row>
    <row r="20" spans="2:20" s="15" customFormat="1" ht="15.75" customHeight="1" x14ac:dyDescent="0.25">
      <c r="B20" s="205" t="s">
        <v>133</v>
      </c>
      <c r="C20" s="206"/>
      <c r="D20" s="206"/>
      <c r="E20" s="206"/>
      <c r="F20" s="217"/>
      <c r="G20" s="217"/>
      <c r="H20" s="217"/>
      <c r="I20" s="217"/>
      <c r="J20" s="217"/>
      <c r="L20" s="206" t="s">
        <v>100</v>
      </c>
      <c r="M20" s="206"/>
      <c r="N20" s="206"/>
      <c r="O20" s="230" t="s">
        <v>28</v>
      </c>
      <c r="P20" s="230"/>
      <c r="Q20" s="230"/>
      <c r="R20" s="230"/>
      <c r="S20" s="230"/>
      <c r="T20" s="161"/>
    </row>
    <row r="21" spans="2:20" s="15" customFormat="1" ht="15.75" customHeight="1" x14ac:dyDescent="0.25">
      <c r="B21" s="205" t="s">
        <v>98</v>
      </c>
      <c r="C21" s="206"/>
      <c r="D21" s="206"/>
      <c r="E21" s="206"/>
      <c r="F21" s="217"/>
      <c r="G21" s="217"/>
      <c r="H21" s="217"/>
      <c r="I21" s="217"/>
      <c r="J21" s="217"/>
      <c r="L21" s="206" t="s">
        <v>99</v>
      </c>
      <c r="M21" s="206"/>
      <c r="N21" s="206"/>
      <c r="O21" s="231" t="str">
        <f>INDEX(Hydrometer!D3:F4,2,MATCH($O$20,Hydrometer!D3:F3,0))</f>
        <v>152H</v>
      </c>
      <c r="P21" s="231"/>
      <c r="Q21" s="231"/>
      <c r="R21" s="231"/>
      <c r="S21" s="231"/>
      <c r="T21" s="161"/>
    </row>
    <row r="22" spans="2:20" s="15" customFormat="1" ht="15.75" customHeight="1" x14ac:dyDescent="0.25">
      <c r="B22" s="205" t="s">
        <v>193</v>
      </c>
      <c r="C22" s="206"/>
      <c r="D22" s="206"/>
      <c r="E22" s="206"/>
      <c r="F22" s="217"/>
      <c r="G22" s="217"/>
      <c r="H22" s="217"/>
      <c r="I22" s="217"/>
      <c r="J22" s="217"/>
      <c r="L22" s="206" t="s">
        <v>103</v>
      </c>
      <c r="M22" s="206"/>
      <c r="N22" s="206"/>
      <c r="O22" s="217"/>
      <c r="P22" s="217"/>
      <c r="Q22" s="217"/>
      <c r="R22" s="217"/>
      <c r="S22" s="217"/>
      <c r="T22" s="161"/>
    </row>
    <row r="23" spans="2:20" s="15" customFormat="1" ht="15.75" customHeight="1" x14ac:dyDescent="0.25">
      <c r="B23" s="205" t="s">
        <v>194</v>
      </c>
      <c r="C23" s="206"/>
      <c r="D23" s="206"/>
      <c r="E23" s="206"/>
      <c r="F23" s="217"/>
      <c r="G23" s="217"/>
      <c r="H23" s="217"/>
      <c r="I23" s="217"/>
      <c r="J23" s="217"/>
      <c r="L23" s="206" t="s">
        <v>102</v>
      </c>
      <c r="M23" s="206"/>
      <c r="N23" s="206"/>
      <c r="O23" s="217"/>
      <c r="P23" s="217"/>
      <c r="Q23" s="217"/>
      <c r="R23" s="217"/>
      <c r="S23" s="217"/>
      <c r="T23" s="161"/>
    </row>
    <row r="24" spans="2:20" s="15" customFormat="1" ht="15.75" customHeight="1" x14ac:dyDescent="0.25">
      <c r="B24" s="205" t="s">
        <v>104</v>
      </c>
      <c r="C24" s="206"/>
      <c r="D24" s="206"/>
      <c r="E24" s="206"/>
      <c r="F24" s="217"/>
      <c r="G24" s="217"/>
      <c r="H24" s="217"/>
      <c r="I24" s="217"/>
      <c r="J24" s="217"/>
      <c r="L24" s="206" t="s">
        <v>192</v>
      </c>
      <c r="M24" s="206"/>
      <c r="N24" s="206"/>
      <c r="O24" s="217"/>
      <c r="P24" s="217"/>
      <c r="Q24" s="217"/>
      <c r="R24" s="217"/>
      <c r="S24" s="217"/>
      <c r="T24" s="161"/>
    </row>
    <row r="25" spans="2:20" s="15" customFormat="1" ht="15.75" customHeight="1" thickBot="1" x14ac:dyDescent="0.3">
      <c r="B25" s="212" t="s">
        <v>195</v>
      </c>
      <c r="C25" s="213"/>
      <c r="D25" s="213"/>
      <c r="E25" s="213"/>
      <c r="F25" s="225"/>
      <c r="G25" s="225"/>
      <c r="H25" s="225"/>
      <c r="I25" s="225"/>
      <c r="J25" s="225"/>
      <c r="K25" s="154"/>
      <c r="L25" s="213" t="s">
        <v>213</v>
      </c>
      <c r="M25" s="213"/>
      <c r="N25" s="213"/>
      <c r="O25" s="225">
        <v>5</v>
      </c>
      <c r="P25" s="225"/>
      <c r="Q25" s="225"/>
      <c r="R25" s="225"/>
      <c r="S25" s="225"/>
      <c r="T25" s="164"/>
    </row>
    <row r="26" spans="2:20" s="15" customFormat="1" ht="15.75" customHeight="1" x14ac:dyDescent="0.25">
      <c r="B26" s="229" t="s">
        <v>111</v>
      </c>
      <c r="C26" s="221"/>
      <c r="D26" s="221"/>
      <c r="E26" s="221"/>
      <c r="F26" s="221"/>
      <c r="G26" s="221"/>
      <c r="H26" s="221"/>
      <c r="I26" s="221"/>
      <c r="J26" s="221"/>
      <c r="K26" s="221"/>
      <c r="L26" s="221"/>
      <c r="M26" s="221"/>
      <c r="N26" s="221"/>
      <c r="O26" s="221"/>
      <c r="P26" s="221"/>
      <c r="Q26" s="221"/>
      <c r="R26" s="221"/>
      <c r="S26" s="221"/>
      <c r="T26" s="222"/>
    </row>
    <row r="27" spans="2:20" s="15" customFormat="1" ht="15.75" customHeight="1" x14ac:dyDescent="0.25">
      <c r="B27" s="218" t="s">
        <v>123</v>
      </c>
      <c r="C27" s="219"/>
      <c r="D27" s="219"/>
      <c r="E27" s="219"/>
      <c r="F27" s="219"/>
      <c r="G27" s="219"/>
      <c r="H27" s="219"/>
      <c r="I27" s="219"/>
      <c r="J27" s="219"/>
      <c r="K27" s="219"/>
      <c r="L27" s="219"/>
      <c r="M27" s="219"/>
      <c r="N27" s="219"/>
      <c r="O27" s="219"/>
      <c r="P27" s="219"/>
      <c r="Q27" s="219"/>
      <c r="R27" s="219"/>
      <c r="S27" s="219"/>
      <c r="T27" s="220"/>
    </row>
    <row r="28" spans="2:20" s="15" customFormat="1" ht="15.75" customHeight="1" x14ac:dyDescent="0.25">
      <c r="B28" s="205" t="s">
        <v>122</v>
      </c>
      <c r="C28" s="206"/>
      <c r="D28" s="206"/>
      <c r="E28" s="206"/>
      <c r="F28" s="206"/>
      <c r="G28" s="206"/>
      <c r="H28" s="216" t="s">
        <v>118</v>
      </c>
      <c r="I28" s="216"/>
      <c r="T28" s="161"/>
    </row>
    <row r="29" spans="2:20" s="15" customFormat="1" ht="15.75" customHeight="1" x14ac:dyDescent="0.25">
      <c r="B29" s="205" t="s">
        <v>125</v>
      </c>
      <c r="C29" s="206"/>
      <c r="D29" s="206"/>
      <c r="E29" s="206"/>
      <c r="F29" s="206"/>
      <c r="G29" s="206"/>
      <c r="H29" s="233">
        <v>4001</v>
      </c>
      <c r="I29" s="233"/>
      <c r="J29" s="15" t="s">
        <v>7</v>
      </c>
      <c r="K29" s="15" t="str">
        <f>IF(H29&lt;INDEX('Table 1'!$D$5:$D$10,MATCH(H28,'Table 1'!$B$5:$B$10,0),1),"← Sample Mass is too small.  Refer to Table 1 worksheet for minimum sample mass requirements.","")</f>
        <v/>
      </c>
      <c r="T29" s="161"/>
    </row>
    <row r="30" spans="2:20" s="15" customFormat="1" ht="15.75" customHeight="1" x14ac:dyDescent="0.25">
      <c r="B30" s="209" t="s">
        <v>124</v>
      </c>
      <c r="C30" s="210"/>
      <c r="D30" s="210"/>
      <c r="E30" s="210"/>
      <c r="F30" s="210"/>
      <c r="G30" s="210"/>
      <c r="H30" s="210"/>
      <c r="I30" s="210"/>
      <c r="J30" s="210"/>
      <c r="K30" s="210"/>
      <c r="L30" s="210"/>
      <c r="M30" s="210"/>
      <c r="N30" s="210"/>
      <c r="O30" s="210"/>
      <c r="P30" s="210"/>
      <c r="Q30" s="210"/>
      <c r="R30" s="210"/>
      <c r="S30" s="210"/>
      <c r="T30" s="211"/>
    </row>
    <row r="31" spans="2:20" s="15" customFormat="1" ht="15.75" customHeight="1" x14ac:dyDescent="0.25">
      <c r="B31" s="205" t="s">
        <v>128</v>
      </c>
      <c r="C31" s="206"/>
      <c r="D31" s="206"/>
      <c r="E31" s="206"/>
      <c r="F31" s="206"/>
      <c r="G31" s="206"/>
      <c r="H31" s="216" t="s">
        <v>119</v>
      </c>
      <c r="I31" s="216"/>
      <c r="T31" s="161"/>
    </row>
    <row r="32" spans="2:20" s="15" customFormat="1" ht="15.75" customHeight="1" x14ac:dyDescent="0.25">
      <c r="B32" s="205" t="s">
        <v>126</v>
      </c>
      <c r="C32" s="206"/>
      <c r="D32" s="206"/>
      <c r="E32" s="206"/>
      <c r="F32" s="206"/>
      <c r="G32" s="206"/>
      <c r="H32" s="233">
        <v>100</v>
      </c>
      <c r="I32" s="233"/>
      <c r="J32" s="15" t="s">
        <v>7</v>
      </c>
      <c r="K32" s="15" t="str">
        <f>IF(H32&lt;INDEX('Table 1'!$D$5:$D$10,MATCH(H31,'Table 1'!$B$5:$B$10,0),1),"← Sample Mass is too small.  Refer to Table 1 worksheet for minimum sample mass requirements.","")</f>
        <v>← Sample Mass is too small.  Refer to Table 1 worksheet for minimum sample mass requirements.</v>
      </c>
      <c r="T32" s="161"/>
    </row>
    <row r="33" spans="2:20" s="15" customFormat="1" ht="15.75" customHeight="1" x14ac:dyDescent="0.25">
      <c r="B33" s="209" t="s">
        <v>129</v>
      </c>
      <c r="C33" s="210"/>
      <c r="D33" s="210"/>
      <c r="E33" s="210"/>
      <c r="F33" s="210"/>
      <c r="G33" s="210"/>
      <c r="H33" s="210"/>
      <c r="I33" s="210"/>
      <c r="J33" s="210"/>
      <c r="K33" s="210"/>
      <c r="L33" s="210"/>
      <c r="M33" s="210"/>
      <c r="N33" s="210"/>
      <c r="O33" s="210"/>
      <c r="P33" s="210"/>
      <c r="Q33" s="210"/>
      <c r="R33" s="210"/>
      <c r="S33" s="210"/>
      <c r="T33" s="211"/>
    </row>
    <row r="34" spans="2:20" s="15" customFormat="1" ht="15.75" customHeight="1" x14ac:dyDescent="0.25">
      <c r="B34" s="205" t="s">
        <v>127</v>
      </c>
      <c r="C34" s="206"/>
      <c r="D34" s="206"/>
      <c r="E34" s="206"/>
      <c r="F34" s="206"/>
      <c r="G34" s="206"/>
      <c r="H34" s="216" t="s">
        <v>131</v>
      </c>
      <c r="I34" s="216"/>
      <c r="T34" s="161"/>
    </row>
    <row r="35" spans="2:20" s="15" customFormat="1" ht="15.75" customHeight="1" x14ac:dyDescent="0.25">
      <c r="B35" s="205" t="s">
        <v>132</v>
      </c>
      <c r="C35" s="206"/>
      <c r="D35" s="206"/>
      <c r="E35" s="206"/>
      <c r="F35" s="206"/>
      <c r="G35" s="206"/>
      <c r="H35" s="231" t="s">
        <v>83</v>
      </c>
      <c r="I35" s="231"/>
      <c r="J35"/>
      <c r="T35" s="161"/>
    </row>
    <row r="36" spans="2:20" s="15" customFormat="1" ht="15.75" customHeight="1" thickBot="1" x14ac:dyDescent="0.3">
      <c r="B36" s="212" t="s">
        <v>130</v>
      </c>
      <c r="C36" s="213"/>
      <c r="D36" s="213"/>
      <c r="E36" s="213"/>
      <c r="F36" s="213"/>
      <c r="G36" s="213"/>
      <c r="H36" s="232">
        <v>45</v>
      </c>
      <c r="I36" s="232"/>
      <c r="J36" s="154" t="s">
        <v>7</v>
      </c>
      <c r="K36" s="154" t="str">
        <f>IF(H36&lt;INDEX('Table 1'!$D$5:$D$10,MATCH("No. 10",'Table 1'!$B$5:$B$10,0),1),"← Sample Mass is too small.  Refer to Table 1 worksheet for minimum sample mass requirements.","")</f>
        <v>← Sample Mass is too small.  Refer to Table 1 worksheet for minimum sample mass requirements.</v>
      </c>
      <c r="L36" s="154"/>
      <c r="M36" s="154"/>
      <c r="N36" s="154"/>
      <c r="O36" s="154"/>
      <c r="P36" s="154"/>
      <c r="Q36" s="154"/>
      <c r="R36" s="154"/>
      <c r="S36" s="154"/>
      <c r="T36" s="164"/>
    </row>
    <row r="37" spans="2:20" x14ac:dyDescent="0.25">
      <c r="B37" s="229" t="s">
        <v>226</v>
      </c>
      <c r="C37" s="221"/>
      <c r="D37" s="221"/>
      <c r="E37" s="221"/>
      <c r="F37" s="221"/>
      <c r="G37" s="221"/>
      <c r="H37" s="221"/>
      <c r="I37" s="221"/>
      <c r="J37" s="221"/>
      <c r="K37" s="317"/>
      <c r="L37" s="221" t="s">
        <v>14</v>
      </c>
      <c r="M37" s="221"/>
      <c r="N37" s="221"/>
      <c r="O37" s="221"/>
      <c r="P37" s="221"/>
      <c r="Q37" s="221"/>
      <c r="R37" s="221"/>
      <c r="S37" s="221"/>
      <c r="T37" s="222"/>
    </row>
    <row r="38" spans="2:20" x14ac:dyDescent="0.25">
      <c r="B38" s="205" t="s">
        <v>11</v>
      </c>
      <c r="C38" s="206"/>
      <c r="D38" s="206"/>
      <c r="E38" s="206"/>
      <c r="F38" s="206"/>
      <c r="G38" s="206"/>
      <c r="H38">
        <f>IF(INDEX(Hydrometer!D3:F4,2,MATCH($O$20,Hydrometer!D3:F3,0))="151H",45,IF(INDEX(Hydrometer!D3:F4,2,MATCH($O$20,Hydrometer!D3:F3,0))="152H",55,""))</f>
        <v>55</v>
      </c>
      <c r="I38" t="s">
        <v>7</v>
      </c>
      <c r="K38" s="318"/>
      <c r="L38" s="206" t="s">
        <v>13</v>
      </c>
      <c r="M38" s="206"/>
      <c r="N38" s="206"/>
      <c r="O38" s="206"/>
      <c r="P38" s="206"/>
      <c r="Q38" s="206"/>
      <c r="R38" s="157"/>
      <c r="S38" s="49"/>
      <c r="T38" s="165">
        <v>2</v>
      </c>
    </row>
    <row r="39" spans="2:20" ht="15" customHeight="1" x14ac:dyDescent="0.25">
      <c r="B39" s="207" t="s">
        <v>196</v>
      </c>
      <c r="C39" s="208"/>
      <c r="D39" s="208"/>
      <c r="E39" s="208"/>
      <c r="F39" s="208"/>
      <c r="G39" s="208"/>
      <c r="H39" s="215">
        <v>45</v>
      </c>
      <c r="I39" s="206" t="s">
        <v>9</v>
      </c>
      <c r="K39" s="318"/>
      <c r="L39" s="206" t="s">
        <v>18</v>
      </c>
      <c r="M39" s="206"/>
      <c r="N39" s="206"/>
      <c r="O39" s="206"/>
      <c r="P39" s="206"/>
      <c r="Q39" s="206"/>
      <c r="R39" s="50">
        <v>116.45</v>
      </c>
      <c r="S39" s="206" t="str">
        <f>IF($T$38=2,"    ← Not Used","g")</f>
        <v xml:space="preserve">    ← Not Used</v>
      </c>
      <c r="T39" s="214"/>
    </row>
    <row r="40" spans="2:20" ht="15" customHeight="1" x14ac:dyDescent="0.25">
      <c r="B40" s="207"/>
      <c r="C40" s="208"/>
      <c r="D40" s="208"/>
      <c r="E40" s="208"/>
      <c r="F40" s="208"/>
      <c r="G40" s="208"/>
      <c r="H40" s="216"/>
      <c r="I40" s="206"/>
      <c r="K40" s="318"/>
      <c r="L40" s="206" t="s">
        <v>19</v>
      </c>
      <c r="M40" s="206"/>
      <c r="N40" s="206"/>
      <c r="O40" s="206"/>
      <c r="P40" s="206"/>
      <c r="Q40" s="206"/>
      <c r="R40" s="12">
        <v>116.45</v>
      </c>
      <c r="S40" s="206" t="str">
        <f>IF(AND(T38=1,R39&lt;&gt;R40),"g ← Needs to = R6","g")</f>
        <v>g</v>
      </c>
      <c r="T40" s="214"/>
    </row>
    <row r="41" spans="2:20" x14ac:dyDescent="0.25">
      <c r="B41" s="205" t="s">
        <v>12</v>
      </c>
      <c r="C41" s="206"/>
      <c r="D41" s="206"/>
      <c r="E41" s="206"/>
      <c r="F41" s="206"/>
      <c r="G41" s="206"/>
      <c r="H41" s="11">
        <v>20</v>
      </c>
      <c r="I41" t="s">
        <v>9</v>
      </c>
      <c r="K41" s="318"/>
      <c r="L41" s="206" t="s">
        <v>21</v>
      </c>
      <c r="M41" s="206"/>
      <c r="N41" s="206"/>
      <c r="O41" s="206"/>
      <c r="P41" s="206"/>
      <c r="Q41" s="206"/>
      <c r="R41" s="13">
        <v>180.54</v>
      </c>
      <c r="S41" s="206" t="str">
        <f>IF(T38=1,IF((R41-R40)&lt;40,"g ← Too Small",IF((R41-R40)&gt;60,"g ← Too Large","g")),IF(T38=2,"    ← Using Cell I47","↑ Answer Question"))</f>
        <v xml:space="preserve">    ← Using Cell I47</v>
      </c>
      <c r="T41" s="214"/>
    </row>
    <row r="42" spans="2:20" x14ac:dyDescent="0.25">
      <c r="B42" s="205" t="s">
        <v>22</v>
      </c>
      <c r="C42" s="206"/>
      <c r="D42" s="206"/>
      <c r="E42" s="206"/>
      <c r="F42" s="206"/>
      <c r="G42" s="206"/>
      <c r="H42" s="43">
        <f>IF(AND(ISNUMBER(H38),ISNUMBER(H39),ISNUMBER(H41)),ROUND(H38*(100/ROUND(H39,0))*(1+(ROUND(H41,0)/100)),0),"")</f>
        <v>147</v>
      </c>
      <c r="I42" t="s">
        <v>7</v>
      </c>
      <c r="K42" s="318"/>
      <c r="L42" s="206" t="s">
        <v>20</v>
      </c>
      <c r="M42" s="206"/>
      <c r="N42" s="206"/>
      <c r="O42" s="206"/>
      <c r="P42" s="206"/>
      <c r="Q42" s="206"/>
      <c r="R42" s="13">
        <f>R40+50.59</f>
        <v>167.04000000000002</v>
      </c>
      <c r="S42" s="206" t="str">
        <f>IF($T$38=2,"g ← Includes MDisp","g")</f>
        <v>g ← Includes MDisp</v>
      </c>
      <c r="T42" s="214"/>
    </row>
    <row r="43" spans="2:20" ht="15.75" thickBot="1" x14ac:dyDescent="0.3">
      <c r="B43" s="166"/>
      <c r="C43" s="8"/>
      <c r="D43" s="8"/>
      <c r="E43" s="8"/>
      <c r="F43" s="8"/>
      <c r="G43" s="8"/>
      <c r="H43" s="8"/>
      <c r="I43" s="8"/>
      <c r="J43" s="8"/>
      <c r="K43" s="319"/>
      <c r="L43" s="213" t="s">
        <v>17</v>
      </c>
      <c r="M43" s="213"/>
      <c r="N43" s="213"/>
      <c r="O43" s="213"/>
      <c r="P43" s="213"/>
      <c r="Q43" s="213"/>
      <c r="R43" s="10">
        <f>IF(T38=2,IF(AND(ISNUMBER(I47),ISNUMBER(R42),ISNUMBER(R47),ISNUMBER(R40)),ROUND(((I47)-(R42-R47-R40))/((R42-R47)-R40)*100,1),""),IF(T38=1,IF(AND(ISNUMBER(R41),ISNUMBER(R42),ISNUMBER(R39),ISNUMBER(R40)),ROUND(((R41-R39)-(R42-R40))/(R42-R40)*100,1), ""),""))</f>
        <v>49.7</v>
      </c>
      <c r="S43" s="8" t="s">
        <v>9</v>
      </c>
      <c r="T43" s="160"/>
    </row>
    <row r="44" spans="2:20" x14ac:dyDescent="0.25">
      <c r="B44" s="229" t="s">
        <v>184</v>
      </c>
      <c r="C44" s="221"/>
      <c r="D44" s="221"/>
      <c r="E44" s="221"/>
      <c r="F44" s="221"/>
      <c r="G44" s="221"/>
      <c r="H44" s="221"/>
      <c r="I44" s="221"/>
      <c r="J44" s="221"/>
      <c r="K44" s="221"/>
      <c r="L44" s="221"/>
      <c r="M44" s="221"/>
      <c r="N44" s="221"/>
      <c r="O44" s="221"/>
      <c r="P44" s="221"/>
      <c r="Q44" s="221"/>
      <c r="R44" s="221"/>
      <c r="S44" s="221"/>
      <c r="T44" s="222"/>
    </row>
    <row r="45" spans="2:20" ht="15.75" thickBot="1" x14ac:dyDescent="0.3">
      <c r="B45" s="166"/>
      <c r="C45" s="8"/>
      <c r="D45" s="8"/>
      <c r="E45" s="8" t="s">
        <v>214</v>
      </c>
      <c r="F45" s="8"/>
      <c r="G45" s="8"/>
      <c r="H45" s="245">
        <v>2.5569999999999999</v>
      </c>
      <c r="I45" s="245"/>
      <c r="J45" s="154"/>
      <c r="K45" s="154"/>
      <c r="L45" s="8"/>
      <c r="M45" s="8" t="s">
        <v>59</v>
      </c>
      <c r="N45" s="8"/>
      <c r="O45" s="8"/>
      <c r="P45" s="245" t="s">
        <v>92</v>
      </c>
      <c r="Q45" s="245"/>
      <c r="R45" s="8"/>
      <c r="S45" s="8"/>
      <c r="T45" s="160"/>
    </row>
    <row r="46" spans="2:20" x14ac:dyDescent="0.25">
      <c r="B46" s="229" t="s">
        <v>216</v>
      </c>
      <c r="C46" s="221"/>
      <c r="D46" s="221"/>
      <c r="E46" s="221"/>
      <c r="F46" s="221"/>
      <c r="G46" s="221"/>
      <c r="H46" s="221"/>
      <c r="I46" s="221"/>
      <c r="J46" s="221"/>
      <c r="K46" s="221"/>
      <c r="L46" s="221"/>
      <c r="M46" s="221"/>
      <c r="N46" s="221"/>
      <c r="O46" s="221"/>
      <c r="P46" s="221"/>
      <c r="Q46" s="221"/>
      <c r="R46" s="221"/>
      <c r="S46" s="221"/>
      <c r="T46" s="222"/>
    </row>
    <row r="47" spans="2:20" ht="15.75" thickBot="1" x14ac:dyDescent="0.3">
      <c r="B47" s="166" t="s">
        <v>16</v>
      </c>
      <c r="C47" s="8"/>
      <c r="D47" s="8"/>
      <c r="E47" s="8"/>
      <c r="F47" s="8"/>
      <c r="G47" s="8"/>
      <c r="H47" s="8"/>
      <c r="I47" s="156">
        <v>68.27</v>
      </c>
      <c r="J47" s="8" t="s">
        <v>7</v>
      </c>
      <c r="L47" s="8" t="s">
        <v>15</v>
      </c>
      <c r="M47" s="8"/>
      <c r="N47" s="8"/>
      <c r="O47" s="8"/>
      <c r="P47" s="8"/>
      <c r="R47" s="156">
        <v>5</v>
      </c>
      <c r="S47" s="8" t="str">
        <f>IF(R47&lt;4.9,"g ← Too Small",IF(R47&gt;5.1,"g ← Too Large","g"))</f>
        <v>g</v>
      </c>
      <c r="T47" s="160"/>
    </row>
    <row r="48" spans="2:20" x14ac:dyDescent="0.25">
      <c r="B48" s="229" t="s">
        <v>25</v>
      </c>
      <c r="C48" s="221"/>
      <c r="D48" s="221"/>
      <c r="E48" s="221"/>
      <c r="F48" s="221"/>
      <c r="G48" s="221"/>
      <c r="H48" s="221"/>
      <c r="I48" s="221"/>
      <c r="J48" s="221"/>
      <c r="K48" s="221"/>
      <c r="L48" s="221"/>
      <c r="M48" s="221"/>
      <c r="N48" s="221"/>
      <c r="O48" s="221"/>
      <c r="P48" s="221"/>
      <c r="Q48" s="221"/>
      <c r="R48" s="221"/>
      <c r="S48" s="221"/>
      <c r="T48" s="222"/>
    </row>
    <row r="49" spans="2:20" ht="15.75" thickBot="1" x14ac:dyDescent="0.3">
      <c r="B49" s="241" t="s">
        <v>24</v>
      </c>
      <c r="C49" s="242"/>
      <c r="D49" s="242"/>
      <c r="E49" s="242"/>
      <c r="F49" s="242"/>
      <c r="G49" s="242"/>
      <c r="H49" s="242"/>
      <c r="I49" s="242"/>
      <c r="J49" s="242"/>
      <c r="K49" s="243"/>
      <c r="L49" s="243"/>
      <c r="M49" s="243"/>
      <c r="N49" s="48"/>
      <c r="O49" s="244">
        <v>2</v>
      </c>
      <c r="P49" s="244"/>
      <c r="Q49" s="244"/>
      <c r="R49" s="8"/>
      <c r="S49" s="8"/>
      <c r="T49" s="160"/>
    </row>
    <row r="50" spans="2:20" s="39" customFormat="1" ht="24" thickBot="1" x14ac:dyDescent="0.4">
      <c r="B50" s="235" t="s">
        <v>175</v>
      </c>
      <c r="C50" s="236"/>
      <c r="D50" s="236"/>
      <c r="E50" s="236"/>
      <c r="F50" s="236"/>
      <c r="G50" s="236"/>
      <c r="H50" s="236"/>
      <c r="I50" s="236"/>
      <c r="J50" s="236"/>
      <c r="K50" s="236"/>
      <c r="L50" s="236"/>
      <c r="M50" s="236"/>
      <c r="N50" s="236"/>
      <c r="O50" s="236"/>
      <c r="P50" s="236"/>
      <c r="Q50" s="236"/>
      <c r="R50" s="236"/>
      <c r="S50" s="236"/>
      <c r="T50" s="237"/>
    </row>
    <row r="51" spans="2:20" ht="15.75" customHeight="1" thickBot="1" x14ac:dyDescent="0.3">
      <c r="B51" s="274" t="s">
        <v>174</v>
      </c>
      <c r="C51" s="277" t="s">
        <v>173</v>
      </c>
      <c r="D51" s="278"/>
      <c r="E51" s="277" t="s">
        <v>177</v>
      </c>
      <c r="F51" s="278"/>
      <c r="G51" s="283" t="s">
        <v>180</v>
      </c>
      <c r="H51" s="284"/>
      <c r="I51" s="284"/>
      <c r="J51" s="284"/>
      <c r="K51" s="284"/>
      <c r="L51" s="284"/>
      <c r="M51" s="285"/>
      <c r="N51" s="286" t="s">
        <v>178</v>
      </c>
      <c r="O51" s="278"/>
      <c r="P51" s="262" t="s">
        <v>179</v>
      </c>
      <c r="Q51" s="263"/>
      <c r="R51" s="262" t="s">
        <v>10</v>
      </c>
      <c r="S51" s="268"/>
      <c r="T51" s="269"/>
    </row>
    <row r="52" spans="2:20" ht="15.75" customHeight="1" x14ac:dyDescent="0.25">
      <c r="B52" s="275"/>
      <c r="C52" s="279"/>
      <c r="D52" s="280"/>
      <c r="E52" s="279"/>
      <c r="F52" s="280"/>
      <c r="G52" s="289" t="s">
        <v>227</v>
      </c>
      <c r="H52" s="290"/>
      <c r="I52" s="290"/>
      <c r="J52" s="291"/>
      <c r="K52" s="292" t="s">
        <v>68</v>
      </c>
      <c r="L52" s="293"/>
      <c r="M52" s="294"/>
      <c r="N52" s="287"/>
      <c r="O52" s="280"/>
      <c r="P52" s="264"/>
      <c r="Q52" s="265"/>
      <c r="R52" s="264"/>
      <c r="S52" s="270"/>
      <c r="T52" s="271"/>
    </row>
    <row r="53" spans="2:20" ht="15.75" thickBot="1" x14ac:dyDescent="0.3">
      <c r="B53" s="276"/>
      <c r="C53" s="281"/>
      <c r="D53" s="282"/>
      <c r="E53" s="281"/>
      <c r="F53" s="282"/>
      <c r="G53" s="298" t="s">
        <v>228</v>
      </c>
      <c r="H53" s="299"/>
      <c r="I53" s="299" t="s">
        <v>229</v>
      </c>
      <c r="J53" s="300"/>
      <c r="K53" s="295"/>
      <c r="L53" s="296"/>
      <c r="M53" s="297"/>
      <c r="N53" s="288"/>
      <c r="O53" s="282"/>
      <c r="P53" s="266"/>
      <c r="Q53" s="267"/>
      <c r="R53" s="266"/>
      <c r="S53" s="272"/>
      <c r="T53" s="273"/>
    </row>
    <row r="54" spans="2:20" x14ac:dyDescent="0.25">
      <c r="B54" s="200">
        <v>1</v>
      </c>
      <c r="C54" s="255">
        <v>40</v>
      </c>
      <c r="D54" s="256"/>
      <c r="E54" s="257">
        <v>20</v>
      </c>
      <c r="F54" s="258"/>
      <c r="G54" s="255">
        <v>5</v>
      </c>
      <c r="H54" s="256"/>
      <c r="I54" s="257">
        <v>20</v>
      </c>
      <c r="J54" s="258"/>
      <c r="K54" s="259" cm="1">
        <f t="array" ref="K54">IF(SUMPRODUCT(--ISNUMBER($C54:$E54))=2, IF(OR(OR(AND($O$21="152H",OR($C54&lt;-5,$C54&gt;60)), AND($O$21="151H",OR($C54&lt;0.995,$C54&gt;1.038))), OR($E54&lt;15,AND($E54&gt;30.9,$E54&lt;59),$E54&gt;87.62)),"Data Out of Range",IF(ISNUMBER(INDEX(Hydrometer!$D$3:$F$58,MATCH("A/B",Hydrometer!$B$3:$B$58,0),MATCH($O$20,Hydrometer!$D$3:$F$3,0))),IF(INDEX(Hydrometer!$D$3:$F$4,2,MATCH($O$20,Hydrometer!$D$3:$F$3,0))= "151H",ROUND(INDEX(Hydrometer!$D$3:$F$58,MATCH("A/B",Hydrometer!$B$3:$B$58,0),MATCH($O$20,Hydrometer!$D$3:$F$3,0)) - 7.784*0.000001*IF($E54&lt;40,$E54,($E54-32)*5/9)-(4.959*0.000001*(IF($E54&lt;40,$E54,($E54-32)*5/9)^2)),4),ROUND(INDEX(Hydrometer!$D$3:$F$58,MATCH("A/B",Hydrometer!$B$3:$B$58,0),MATCH($O$20,Hydrometer!$D$3:$F$3,0)) - 1.248*0.01*IF($E54&lt;40,$E54,($E54-32)*5/9)-(7.95*0.001*(IF($E54&lt;40,$E54,($E54-32)*5/9)^2)),1)),"Need Calibration Data")),"Need Data")</f>
        <v>6.2</v>
      </c>
      <c r="L54" s="260"/>
      <c r="M54" s="261"/>
      <c r="N54" s="259">
        <f>IF(ISNUMBER($C54),IF(OR(AND($O$21="152H",AND($C54&gt;=-5,$C54&lt;=60)), AND($O$21="151H",AND($C54&gt;=0.995,$C54&lt;=1.038))),IF(AND(ISNUMBER(INDEX(Hydrometer!$D$3:$F$58,MATCH("hr2",Hydrometer!$B$3:$B$58,0),MATCH($O$20,Hydrometer!$D$3:$F$3,0))),ISNUMBER(INDEX(Hydrometer!$D$3:$F$58,MATCH("hr1",Hydrometer!$B$3:$B$58,0),MATCH($O$20,Hydrometer!$D$3:$F$3,0))),ISNUMBER(INDEX(Hydrometer!$D$3:$F$58,MATCH("r2",Hydrometer!$B$3:$B$58,0),MATCH($O$20,Hydrometer!$D$3:$F$3,0))),ISNUMBER(INDEX(Hydrometer!$D$3:$F$58,MATCH("vhb",Hydrometer!$B$3:$B$58,0),MATCH($O$20,Hydrometer!$D$3:$F$3,0))),ISNUMBER(INDEX(Hydrometer!$D$3:$F$58,MATCH("cm",Hydrometer!$B$3:$B$58,0),MATCH($O$20,Hydrometer!$D$3:$F$3,0))),ISNUMBER(INDEX(Cylinder!$F$3:$G$44,MATCH("ac",Cylinder!$B$3:$B$44,0),MATCH($O$18,Cylinder!$F$3:$G$3,0)))),ROUND(INDEX(Hydrometer!$D$3:$F$58,MATCH("hr2",Hydrometer!$B$3:$B$58,0),MATCH($O$20,Hydrometer!$D$3:$F$3,0))/10+((INDEX(Hydrometer!$D$3:$F$58,MATCH("hr1",Hydrometer!$B$3:$B$58,0),MATCH($O$20,Hydrometer!$D$3:$F$3,0))/10-INDEX(Hydrometer!$D$3:$F$58,MATCH("hr2",Hydrometer!$B$3:$B$58,0),MATCH($O$20,Hydrometer!$D$3:$F$3,0))/10)/(INDEX(Hydrometer!$D$3:$F$58,MATCH("r2",Hydrometer!$B$3:$B$58,0),MATCH($O$20,Hydrometer!$D$3:$F$3,0))-INDEX(Hydrometer!$D$3:$F$58,MATCH("r1",Hydrometer!$B$3:$B$58,0),MATCH($O$20,Hydrometer!$D$3:$F$3,0)))*(INDEX(Hydrometer!$D$3:$F$58,MATCH("r2",Hydrometer!$B$3:$B$58,0),MATCH($O$20,Hydrometer!$D$3:$F$3,0))-$C54+INDEX(Hydrometer!$D$3:$F$58,MATCH("cm",Hydrometer!$B$3:$B$58,0),MATCH($O$20,Hydrometer!$D$3:$F$3,0))))-(INDEX(Hydrometer!$D$3:$F$58,MATCH("vhb",Hydrometer!$B$3:$B$58,0),MATCH($O$20,Hydrometer!$D$3:$F$3,0))/(2*INDEX(Cylinder!$F$3:$G$44,MATCH("ac",Cylinder!$B$3:$B$44,0),MATCH($O$18,Cylinder!$F$3:$G$3,0)))),1),"Need Calibration Data"),"Data Out of Range"),"Need Data")</f>
        <v>8.4</v>
      </c>
      <c r="O54" s="261"/>
      <c r="P54" s="238">
        <f t="shared" ref="P54:P62" si="0">IF(AND(ISNUMBER($H$45),ISNUMBER($B54),ISNUMBER($N54)),ROUND(SQRT((18*0.01)/(1*980.7*($H$45-1))*($N54/($B54*60)))*10,4),"Need Data")</f>
        <v>4.0599999999999997E-2</v>
      </c>
      <c r="Q54" s="239"/>
      <c r="R54" s="252">
        <f>IF(ISNUMBER($C54),IF(OR(AND($O$21="152H",AND($C54&gt;=-5,$C54&lt;=60)),AND($O$21="151H",AND($C54&gt;=0.995,$C54&lt;=1.038))),IF(OR(AND($O$49=1,ISNUMBER($G54)),AND($O$49=2,ISNUMBER($K54))),IF(OR(AND($O$49=2,ISNUMBER($K54)),AND($O$49=1,OR(AND($O$21="152H",AND($G54&gt;=-5,$G54&lt;=60)),AND($O$21="151H",AND($G54&gt;=0.995,$G54&lt;=1.038))))),IF(ISNUMBER(INDEX(Cylinder!$F$3:$G$44,MATCH("vsp",Cylinder!$B$3:$B$44,0),MATCH($O$18,Cylinder!$F$3:$G$3,0))), IF(ISNUMBER($H$45), IF(AND($H$45&gt;=2,$H$45&lt;=3), IF(ISNUMBER($I$47), IF($I$47&gt;=50, IF(ISNUMBER($K$65), IF($O$21="151H",ROUND(($H$45/($H$45-1))*(INDEX(Cylinder!$F$3:$G$44,MATCH("vsp",Cylinder!$B$3:$B$44,0),MATCH($O$18,Cylinder!$F$3:$G$3,0))/$K$65)*0.99821*($C54-IF($O$49=1,$G54,$K54))*100,1),ROUND(0.6226*($H$45/($H$45-1))*(INDEX(Cylinder!$F$3:$G$44,MATCH("vsp",Cylinder!$B$3:$B$44,0),MATCH($O$18,Cylinder!$F$3:$G$3,0))/$K$65)*($C54-IF($O$49=1,$G54,$K54))*(100/1000),1)),"Need Dry Mass"),"Moist Mass Too Small"),"Need Moist Mass"),"Soil Gravity Out of Range"),"Need Soil Specific Gravity"),"Need Cylinder Volume"),"T-D Correction Out of Range"),"Need T-D Correction"),"Hydro Reading Out of Range"),"Need Hydrometer Reading")</f>
        <v>75.8</v>
      </c>
      <c r="S54" s="253"/>
      <c r="T54" s="254"/>
    </row>
    <row r="55" spans="2:20" x14ac:dyDescent="0.25">
      <c r="B55" s="201">
        <v>2</v>
      </c>
      <c r="C55" s="250">
        <v>36.25</v>
      </c>
      <c r="D55" s="251"/>
      <c r="E55" s="246">
        <v>20</v>
      </c>
      <c r="F55" s="247"/>
      <c r="G55" s="250">
        <v>5</v>
      </c>
      <c r="H55" s="251"/>
      <c r="I55" s="246">
        <v>20</v>
      </c>
      <c r="J55" s="247"/>
      <c r="K55" s="252" cm="1">
        <f t="array" ref="K55">IF(SUMPRODUCT(--ISNUMBER($C55:$E55))=2, IF(OR(OR(AND($O$21="152H",OR($C55&lt;-5,$C55&gt;60)), AND($O$21="151H",OR($C55&lt;0.995,$C55&gt;1.038))), OR($E55&lt;15,AND($E55&gt;30.9,$E55&lt;59),$E55&gt;87.62)),"Data Out of Range",IF(ISNUMBER(INDEX(Hydrometer!$D$3:$F$58,MATCH("A/B",Hydrometer!$B$3:$B$58,0),MATCH($O$20,Hydrometer!$D$3:$F$3,0))),IF(INDEX(Hydrometer!$D$3:$F$4,2,MATCH($O$20,Hydrometer!$D$3:$F$3,0))= "151H",ROUND(INDEX(Hydrometer!$D$3:$F$58,MATCH("A/B",Hydrometer!$B$3:$B$58,0),MATCH($O$20,Hydrometer!$D$3:$F$3,0)) - 7.784*0.000001*IF($E55&lt;40,$E55,($E55-32)*5/9)-(4.959*0.000001*(IF($E55&lt;40,$E55,($E55-32)*5/9)^2)),4),ROUND(INDEX(Hydrometer!$D$3:$F$58,MATCH("A/B",Hydrometer!$B$3:$B$58,0),MATCH($O$20,Hydrometer!$D$3:$F$3,0)) - 1.248*0.01*IF($E55&lt;40,$E55,($E55-32)*5/9)-(7.95*0.001*(IF($E55&lt;40,$E55,($E55-32)*5/9)^2)),1)),"Need Calibration Data")),"Need Data")</f>
        <v>6.2</v>
      </c>
      <c r="L55" s="253"/>
      <c r="M55" s="307"/>
      <c r="N55" s="252">
        <f>IF(ISNUMBER($C55),IF(OR(AND($O$21="152H",AND($C55&gt;=-5,$C55&lt;=60)), AND($O$21="151H",AND($C55&gt;=0.995,$C55&lt;=1.038))),IF(AND(ISNUMBER(INDEX(Hydrometer!$D$3:$F$58,MATCH("hr2",Hydrometer!$B$3:$B$58,0),MATCH($O$20,Hydrometer!$D$3:$F$3,0))),ISNUMBER(INDEX(Hydrometer!$D$3:$F$58,MATCH("hr1",Hydrometer!$B$3:$B$58,0),MATCH($O$20,Hydrometer!$D$3:$F$3,0))),ISNUMBER(INDEX(Hydrometer!$D$3:$F$58,MATCH("r2",Hydrometer!$B$3:$B$58,0),MATCH($O$20,Hydrometer!$D$3:$F$3,0))),ISNUMBER(INDEX(Hydrometer!$D$3:$F$58,MATCH("vhb",Hydrometer!$B$3:$B$58,0),MATCH($O$20,Hydrometer!$D$3:$F$3,0))),ISNUMBER(INDEX(Hydrometer!$D$3:$F$58,MATCH("cm",Hydrometer!$B$3:$B$58,0),MATCH($O$20,Hydrometer!$D$3:$F$3,0))),ISNUMBER(INDEX(Cylinder!$F$3:$G$44,MATCH("ac",Cylinder!$B$3:$B$44,0),MATCH($O$18,Cylinder!$F$3:$G$3,0)))),ROUND(INDEX(Hydrometer!$D$3:$F$58,MATCH("hr2",Hydrometer!$B$3:$B$58,0),MATCH($O$20,Hydrometer!$D$3:$F$3,0))/10+((INDEX(Hydrometer!$D$3:$F$58,MATCH("hr1",Hydrometer!$B$3:$B$58,0),MATCH($O$20,Hydrometer!$D$3:$F$3,0))/10-INDEX(Hydrometer!$D$3:$F$58,MATCH("hr2",Hydrometer!$B$3:$B$58,0),MATCH($O$20,Hydrometer!$D$3:$F$3,0))/10)/(INDEX(Hydrometer!$D$3:$F$58,MATCH("r2",Hydrometer!$B$3:$B$58,0),MATCH($O$20,Hydrometer!$D$3:$F$3,0))-INDEX(Hydrometer!$D$3:$F$58,MATCH("r1",Hydrometer!$B$3:$B$58,0),MATCH($O$20,Hydrometer!$D$3:$F$3,0)))*(INDEX(Hydrometer!$D$3:$F$58,MATCH("r2",Hydrometer!$B$3:$B$58,0),MATCH($O$20,Hydrometer!$D$3:$F$3,0))-$C55+INDEX(Hydrometer!$D$3:$F$58,MATCH("cm",Hydrometer!$B$3:$B$58,0),MATCH($O$20,Hydrometer!$D$3:$F$3,0))))-(INDEX(Hydrometer!$D$3:$F$58,MATCH("vhb",Hydrometer!$B$3:$B$58,0),MATCH($O$20,Hydrometer!$D$3:$F$3,0))/(2*INDEX(Cylinder!$F$3:$G$44,MATCH("ac",Cylinder!$B$3:$B$44,0),MATCH($O$18,Cylinder!$F$3:$G$3,0)))),1),"Need Calibration Data"),"Data Out of Range"),"Need Data")</f>
        <v>9</v>
      </c>
      <c r="O55" s="307"/>
      <c r="P55" s="238">
        <f t="shared" si="0"/>
        <v>2.9700000000000001E-2</v>
      </c>
      <c r="Q55" s="239"/>
      <c r="R55" s="252">
        <f>IF(ISNUMBER($C55),IF(OR(AND($O$21="152H",AND($C55&gt;=-5,$C55&lt;=60)),AND($O$21="151H",AND($C55&gt;=0.995,$C55&lt;=1.038))),IF(OR(AND($O$49=1,ISNUMBER($G55)),AND($O$49=2,ISNUMBER($K55))),IF(OR(AND($O$49=2,ISNUMBER($K55)),AND($O$49=1,OR(AND($O$21="152H",AND($G55&gt;=-5,$G55&lt;=60)),AND($O$21="151H",AND($G55&gt;=0.995,$G55&lt;=1.038))))),IF(ISNUMBER(INDEX(Cylinder!$F$3:$G$44,MATCH("vsp",Cylinder!$B$3:$B$44,0),MATCH($O$18,Cylinder!$F$3:$G$3,0))), IF(ISNUMBER($H$45), IF(AND($H$45&gt;=2,$H$45&lt;=3), IF(ISNUMBER($I$47), IF($I$47&gt;=50, IF(ISNUMBER($K$65), IF($O$21="151H",ROUND(($H$45/($H$45-1))*(INDEX(Cylinder!$F$3:$G$44,MATCH("vsp",Cylinder!$B$3:$B$44,0),MATCH($O$18,Cylinder!$F$3:$G$3,0))/$K$65)*0.99821*($C55-IF($O$49=1,$G55,$K55))*100,1),ROUND(0.6226*($H$45/($H$45-1))*(INDEX(Cylinder!$F$3:$G$44,MATCH("vsp",Cylinder!$B$3:$B$44,0),MATCH($O$18,Cylinder!$F$3:$G$3,0))/$K$65)*($C55-IF($O$49=1,$G55,$K55))*(100/1000),1)),"Need Dry Mass"),"Moist Mass Too Small"),"Need Moist Mass"),"Soil Gravity Out of Range"),"Need Soil Specific Gravity"),"Need Cylinder Volume"),"T-D Correction Out of Range"),"Need T-D Correction"),"Hydro Reading Out of Range"),"Need Hydrometer Reading")</f>
        <v>67.400000000000006</v>
      </c>
      <c r="S55" s="253"/>
      <c r="T55" s="254"/>
    </row>
    <row r="56" spans="2:20" x14ac:dyDescent="0.25">
      <c r="B56" s="201">
        <v>4</v>
      </c>
      <c r="C56" s="250">
        <v>32</v>
      </c>
      <c r="D56" s="251"/>
      <c r="E56" s="246">
        <v>21.2</v>
      </c>
      <c r="F56" s="247"/>
      <c r="G56" s="250">
        <v>4</v>
      </c>
      <c r="H56" s="251"/>
      <c r="I56" s="246">
        <v>21.1</v>
      </c>
      <c r="J56" s="247"/>
      <c r="K56" s="252" cm="1">
        <f t="array" ref="K56">IF(SUMPRODUCT(--ISNUMBER($C56:$E56))=2, IF(OR(OR(AND($O$21="152H",OR($C56&lt;-5,$C56&gt;60)), AND($O$21="151H",OR($C56&lt;0.995,$C56&gt;1.038))), OR($E56&lt;15,AND($E56&gt;30.9,$E56&lt;59),$E56&gt;87.62)),"Data Out of Range",IF(ISNUMBER(INDEX(Hydrometer!$D$3:$F$58,MATCH("A/B",Hydrometer!$B$3:$B$58,0),MATCH($O$20,Hydrometer!$D$3:$F$3,0))),IF(INDEX(Hydrometer!$D$3:$F$4,2,MATCH($O$20,Hydrometer!$D$3:$F$3,0))= "151H",ROUND(INDEX(Hydrometer!$D$3:$F$58,MATCH("A/B",Hydrometer!$B$3:$B$58,0),MATCH($O$20,Hydrometer!$D$3:$F$3,0)) - 7.784*0.000001*IF($E56&lt;40,$E56,($E56-32)*5/9)-(4.959*0.000001*(IF($E56&lt;40,$E56,($E56-32)*5/9)^2)),4),ROUND(INDEX(Hydrometer!$D$3:$F$58,MATCH("A/B",Hydrometer!$B$3:$B$58,0),MATCH($O$20,Hydrometer!$D$3:$F$3,0)) - 1.248*0.01*IF($E56&lt;40,$E56,($E56-32)*5/9)-(7.95*0.001*(IF($E56&lt;40,$E56,($E56-32)*5/9)^2)),1)),"Need Calibration Data")),"Need Data")</f>
        <v>5.8</v>
      </c>
      <c r="L56" s="253"/>
      <c r="M56" s="307"/>
      <c r="N56" s="252">
        <f>IF(ISNUMBER($C56),IF(OR(AND($O$21="152H",AND($C56&gt;=-5,$C56&lt;=60)), AND($O$21="151H",AND($C56&gt;=0.995,$C56&lt;=1.038))),IF(AND(ISNUMBER(INDEX(Hydrometer!$D$3:$F$58,MATCH("hr2",Hydrometer!$B$3:$B$58,0),MATCH($O$20,Hydrometer!$D$3:$F$3,0))),ISNUMBER(INDEX(Hydrometer!$D$3:$F$58,MATCH("hr1",Hydrometer!$B$3:$B$58,0),MATCH($O$20,Hydrometer!$D$3:$F$3,0))),ISNUMBER(INDEX(Hydrometer!$D$3:$F$58,MATCH("r2",Hydrometer!$B$3:$B$58,0),MATCH($O$20,Hydrometer!$D$3:$F$3,0))),ISNUMBER(INDEX(Hydrometer!$D$3:$F$58,MATCH("vhb",Hydrometer!$B$3:$B$58,0),MATCH($O$20,Hydrometer!$D$3:$F$3,0))),ISNUMBER(INDEX(Hydrometer!$D$3:$F$58,MATCH("cm",Hydrometer!$B$3:$B$58,0),MATCH($O$20,Hydrometer!$D$3:$F$3,0))),ISNUMBER(INDEX(Cylinder!$F$3:$G$44,MATCH("ac",Cylinder!$B$3:$B$44,0),MATCH($O$18,Cylinder!$F$3:$G$3,0)))),ROUND(INDEX(Hydrometer!$D$3:$F$58,MATCH("hr2",Hydrometer!$B$3:$B$58,0),MATCH($O$20,Hydrometer!$D$3:$F$3,0))/10+((INDEX(Hydrometer!$D$3:$F$58,MATCH("hr1",Hydrometer!$B$3:$B$58,0),MATCH($O$20,Hydrometer!$D$3:$F$3,0))/10-INDEX(Hydrometer!$D$3:$F$58,MATCH("hr2",Hydrometer!$B$3:$B$58,0),MATCH($O$20,Hydrometer!$D$3:$F$3,0))/10)/(INDEX(Hydrometer!$D$3:$F$58,MATCH("r2",Hydrometer!$B$3:$B$58,0),MATCH($O$20,Hydrometer!$D$3:$F$3,0))-INDEX(Hydrometer!$D$3:$F$58,MATCH("r1",Hydrometer!$B$3:$B$58,0),MATCH($O$20,Hydrometer!$D$3:$F$3,0)))*(INDEX(Hydrometer!$D$3:$F$58,MATCH("r2",Hydrometer!$B$3:$B$58,0),MATCH($O$20,Hydrometer!$D$3:$F$3,0))-$C56+INDEX(Hydrometer!$D$3:$F$58,MATCH("cm",Hydrometer!$B$3:$B$58,0),MATCH($O$20,Hydrometer!$D$3:$F$3,0))))-(INDEX(Hydrometer!$D$3:$F$58,MATCH("vhb",Hydrometer!$B$3:$B$58,0),MATCH($O$20,Hydrometer!$D$3:$F$3,0))/(2*INDEX(Cylinder!$F$3:$G$44,MATCH("ac",Cylinder!$B$3:$B$44,0),MATCH($O$18,Cylinder!$F$3:$G$3,0)))),1),"Need Calibration Data"),"Data Out of Range"),"Need Data")</f>
        <v>9.6999999999999993</v>
      </c>
      <c r="O56" s="307"/>
      <c r="P56" s="238">
        <f t="shared" si="0"/>
        <v>2.18E-2</v>
      </c>
      <c r="Q56" s="239"/>
      <c r="R56" s="252">
        <f>IF(ISNUMBER($C56),IF(OR(AND($O$21="152H",AND($C56&gt;=-5,$C56&lt;=60)),AND($O$21="151H",AND($C56&gt;=0.995,$C56&lt;=1.038))),IF(OR(AND($O$49=1,ISNUMBER($G56)),AND($O$49=2,ISNUMBER($K56))),IF(OR(AND($O$49=2,ISNUMBER($K56)),AND($O$49=1,OR(AND($O$21="152H",AND($G56&gt;=-5,$G56&lt;=60)),AND($O$21="151H",AND($G56&gt;=0.995,$G56&lt;=1.038))))),IF(ISNUMBER(INDEX(Cylinder!$F$3:$G$44,MATCH("vsp",Cylinder!$B$3:$B$44,0),MATCH($O$18,Cylinder!$F$3:$G$3,0))), IF(ISNUMBER($H$45), IF(AND($H$45&gt;=2,$H$45&lt;=3), IF(ISNUMBER($I$47), IF($I$47&gt;=50, IF(ISNUMBER($K$65), IF($O$21="151H",ROUND(($H$45/($H$45-1))*(INDEX(Cylinder!$F$3:$G$44,MATCH("vsp",Cylinder!$B$3:$B$44,0),MATCH($O$18,Cylinder!$F$3:$G$3,0))/$K$65)*0.99821*($C56-IF($O$49=1,$G56,$K56))*100,1),ROUND(0.6226*($H$45/($H$45-1))*(INDEX(Cylinder!$F$3:$G$44,MATCH("vsp",Cylinder!$B$3:$B$44,0),MATCH($O$18,Cylinder!$F$3:$G$3,0))/$K$65)*($C56-IF($O$49=1,$G56,$K56))*(100/1000),1)),"Need Dry Mass"),"Moist Mass Too Small"),"Need Moist Mass"),"Soil Gravity Out of Range"),"Need Soil Specific Gravity"),"Need Cylinder Volume"),"T-D Correction Out of Range"),"Need T-D Correction"),"Hydro Reading Out of Range"),"Need Hydrometer Reading")</f>
        <v>58.8</v>
      </c>
      <c r="S56" s="253"/>
      <c r="T56" s="254"/>
    </row>
    <row r="57" spans="2:20" x14ac:dyDescent="0.25">
      <c r="B57" s="201">
        <v>8</v>
      </c>
      <c r="C57" s="250">
        <v>29</v>
      </c>
      <c r="D57" s="251"/>
      <c r="E57" s="246">
        <v>20</v>
      </c>
      <c r="F57" s="247"/>
      <c r="G57" s="250">
        <v>4</v>
      </c>
      <c r="H57" s="251"/>
      <c r="I57" s="246">
        <v>21.1</v>
      </c>
      <c r="J57" s="247"/>
      <c r="K57" s="252" cm="1">
        <f t="array" ref="K57">IF(SUMPRODUCT(--ISNUMBER($C57:$E57))=2, IF(OR(OR(AND($O$21="152H",OR($C57&lt;-5,$C57&gt;60)), AND($O$21="151H",OR($C57&lt;0.995,$C57&gt;1.038))), OR($E57&lt;15,AND($E57&gt;30.9,$E57&lt;59),$E57&gt;87.62)),"Data Out of Range",IF(ISNUMBER(INDEX(Hydrometer!$D$3:$F$58,MATCH("A/B",Hydrometer!$B$3:$B$58,0),MATCH($O$20,Hydrometer!$D$3:$F$3,0))),IF(INDEX(Hydrometer!$D$3:$F$4,2,MATCH($O$20,Hydrometer!$D$3:$F$3,0))= "151H",ROUND(INDEX(Hydrometer!$D$3:$F$58,MATCH("A/B",Hydrometer!$B$3:$B$58,0),MATCH($O$20,Hydrometer!$D$3:$F$3,0)) - 7.784*0.000001*IF($E57&lt;40,$E57,($E57-32)*5/9)-(4.959*0.000001*(IF($E57&lt;40,$E57,($E57-32)*5/9)^2)),4),ROUND(INDEX(Hydrometer!$D$3:$F$58,MATCH("A/B",Hydrometer!$B$3:$B$58,0),MATCH($O$20,Hydrometer!$D$3:$F$3,0)) - 1.248*0.01*IF($E57&lt;40,$E57,($E57-32)*5/9)-(7.95*0.001*(IF($E57&lt;40,$E57,($E57-32)*5/9)^2)),1)),"Need Calibration Data")),"Need Data")</f>
        <v>6.2</v>
      </c>
      <c r="L57" s="253"/>
      <c r="M57" s="307"/>
      <c r="N57" s="252">
        <f>IF(ISNUMBER($C57),IF(OR(AND($O$21="152H",AND($C57&gt;=-5,$C57&lt;=60)), AND($O$21="151H",AND($C57&gt;=0.995,$C57&lt;=1.038))),IF(AND(ISNUMBER(INDEX(Hydrometer!$D$3:$F$58,MATCH("hr2",Hydrometer!$B$3:$B$58,0),MATCH($O$20,Hydrometer!$D$3:$F$3,0))),ISNUMBER(INDEX(Hydrometer!$D$3:$F$58,MATCH("hr1",Hydrometer!$B$3:$B$58,0),MATCH($O$20,Hydrometer!$D$3:$F$3,0))),ISNUMBER(INDEX(Hydrometer!$D$3:$F$58,MATCH("r2",Hydrometer!$B$3:$B$58,0),MATCH($O$20,Hydrometer!$D$3:$F$3,0))),ISNUMBER(INDEX(Hydrometer!$D$3:$F$58,MATCH("vhb",Hydrometer!$B$3:$B$58,0),MATCH($O$20,Hydrometer!$D$3:$F$3,0))),ISNUMBER(INDEX(Hydrometer!$D$3:$F$58,MATCH("cm",Hydrometer!$B$3:$B$58,0),MATCH($O$20,Hydrometer!$D$3:$F$3,0))),ISNUMBER(INDEX(Cylinder!$F$3:$G$44,MATCH("ac",Cylinder!$B$3:$B$44,0),MATCH($O$18,Cylinder!$F$3:$G$3,0)))),ROUND(INDEX(Hydrometer!$D$3:$F$58,MATCH("hr2",Hydrometer!$B$3:$B$58,0),MATCH($O$20,Hydrometer!$D$3:$F$3,0))/10+((INDEX(Hydrometer!$D$3:$F$58,MATCH("hr1",Hydrometer!$B$3:$B$58,0),MATCH($O$20,Hydrometer!$D$3:$F$3,0))/10-INDEX(Hydrometer!$D$3:$F$58,MATCH("hr2",Hydrometer!$B$3:$B$58,0),MATCH($O$20,Hydrometer!$D$3:$F$3,0))/10)/(INDEX(Hydrometer!$D$3:$F$58,MATCH("r2",Hydrometer!$B$3:$B$58,0),MATCH($O$20,Hydrometer!$D$3:$F$3,0))-INDEX(Hydrometer!$D$3:$F$58,MATCH("r1",Hydrometer!$B$3:$B$58,0),MATCH($O$20,Hydrometer!$D$3:$F$3,0)))*(INDEX(Hydrometer!$D$3:$F$58,MATCH("r2",Hydrometer!$B$3:$B$58,0),MATCH($O$20,Hydrometer!$D$3:$F$3,0))-$C57+INDEX(Hydrometer!$D$3:$F$58,MATCH("cm",Hydrometer!$B$3:$B$58,0),MATCH($O$20,Hydrometer!$D$3:$F$3,0))))-(INDEX(Hydrometer!$D$3:$F$58,MATCH("vhb",Hydrometer!$B$3:$B$58,0),MATCH($O$20,Hydrometer!$D$3:$F$3,0))/(2*INDEX(Cylinder!$F$3:$G$44,MATCH("ac",Cylinder!$B$3:$B$44,0),MATCH($O$18,Cylinder!$F$3:$G$3,0)))),1),"Need Calibration Data"),"Data Out of Range"),"Need Data")</f>
        <v>10.199999999999999</v>
      </c>
      <c r="O57" s="307"/>
      <c r="P57" s="238">
        <f t="shared" si="0"/>
        <v>1.5800000000000002E-2</v>
      </c>
      <c r="Q57" s="239"/>
      <c r="R57" s="252">
        <f>IF(ISNUMBER($C57),IF(OR(AND($O$21="152H",AND($C57&gt;=-5,$C57&lt;=60)),AND($O$21="151H",AND($C57&gt;=0.995,$C57&lt;=1.038))),IF(OR(AND($O$49=1,ISNUMBER($G57)),AND($O$49=2,ISNUMBER($K57))),IF(OR(AND($O$49=2,ISNUMBER($K57)),AND($O$49=1,OR(AND($O$21="152H",AND($G57&gt;=-5,$G57&lt;=60)),AND($O$21="151H",AND($G57&gt;=0.995,$G57&lt;=1.038))))),IF(ISNUMBER(INDEX(Cylinder!$F$3:$G$44,MATCH("vsp",Cylinder!$B$3:$B$44,0),MATCH($O$18,Cylinder!$F$3:$G$3,0))), IF(ISNUMBER($H$45), IF(AND($H$45&gt;=2,$H$45&lt;=3), IF(ISNUMBER($I$47), IF($I$47&gt;=50, IF(ISNUMBER($K$65), IF($O$21="151H",ROUND(($H$45/($H$45-1))*(INDEX(Cylinder!$F$3:$G$44,MATCH("vsp",Cylinder!$B$3:$B$44,0),MATCH($O$18,Cylinder!$F$3:$G$3,0))/$K$65)*0.99821*($C57-IF($O$49=1,$G57,$K57))*100,1),ROUND(0.6226*($H$45/($H$45-1))*(INDEX(Cylinder!$F$3:$G$44,MATCH("vsp",Cylinder!$B$3:$B$44,0),MATCH($O$18,Cylinder!$F$3:$G$3,0))/$K$65)*($C57-IF($O$49=1,$G57,$K57))*(100/1000),1)),"Need Dry Mass"),"Moist Mass Too Small"),"Need Moist Mass"),"Soil Gravity Out of Range"),"Need Soil Specific Gravity"),"Need Cylinder Volume"),"T-D Correction Out of Range"),"Need T-D Correction"),"Hydro Reading Out of Range"),"Need Hydrometer Reading")</f>
        <v>51.1</v>
      </c>
      <c r="S57" s="253"/>
      <c r="T57" s="254"/>
    </row>
    <row r="58" spans="2:20" x14ac:dyDescent="0.25">
      <c r="B58" s="201">
        <v>15</v>
      </c>
      <c r="C58" s="250">
        <v>25.5</v>
      </c>
      <c r="D58" s="251"/>
      <c r="E58" s="246">
        <v>21.2</v>
      </c>
      <c r="F58" s="247"/>
      <c r="G58" s="250">
        <v>4</v>
      </c>
      <c r="H58" s="251"/>
      <c r="I58" s="246">
        <v>21</v>
      </c>
      <c r="J58" s="247"/>
      <c r="K58" s="252" cm="1">
        <f t="array" ref="K58">IF(SUMPRODUCT(--ISNUMBER($C58:$E58))=2, IF(OR(OR(AND($O$21="152H",OR($C58&lt;-5,$C58&gt;60)), AND($O$21="151H",OR($C58&lt;0.995,$C58&gt;1.038))), OR($E58&lt;15,AND($E58&gt;30.9,$E58&lt;59),$E58&gt;87.62)),"Data Out of Range",IF(ISNUMBER(INDEX(Hydrometer!$D$3:$F$58,MATCH("A/B",Hydrometer!$B$3:$B$58,0),MATCH($O$20,Hydrometer!$D$3:$F$3,0))),IF(INDEX(Hydrometer!$D$3:$F$4,2,MATCH($O$20,Hydrometer!$D$3:$F$3,0))= "151H",ROUND(INDEX(Hydrometer!$D$3:$F$58,MATCH("A/B",Hydrometer!$B$3:$B$58,0),MATCH($O$20,Hydrometer!$D$3:$F$3,0)) - 7.784*0.000001*IF($E58&lt;40,$E58,($E58-32)*5/9)-(4.959*0.000001*(IF($E58&lt;40,$E58,($E58-32)*5/9)^2)),4),ROUND(INDEX(Hydrometer!$D$3:$F$58,MATCH("A/B",Hydrometer!$B$3:$B$58,0),MATCH($O$20,Hydrometer!$D$3:$F$3,0)) - 1.248*0.01*IF($E58&lt;40,$E58,($E58-32)*5/9)-(7.95*0.001*(IF($E58&lt;40,$E58,($E58-32)*5/9)^2)),1)),"Need Calibration Data")),"Need Data")</f>
        <v>5.8</v>
      </c>
      <c r="L58" s="253"/>
      <c r="M58" s="307"/>
      <c r="N58" s="252">
        <f>IF(ISNUMBER($C58),IF(OR(AND($O$21="152H",AND($C58&gt;=-5,$C58&lt;=60)), AND($O$21="151H",AND($C58&gt;=0.995,$C58&lt;=1.038))),IF(AND(ISNUMBER(INDEX(Hydrometer!$D$3:$F$58,MATCH("hr2",Hydrometer!$B$3:$B$58,0),MATCH($O$20,Hydrometer!$D$3:$F$3,0))),ISNUMBER(INDEX(Hydrometer!$D$3:$F$58,MATCH("hr1",Hydrometer!$B$3:$B$58,0),MATCH($O$20,Hydrometer!$D$3:$F$3,0))),ISNUMBER(INDEX(Hydrometer!$D$3:$F$58,MATCH("r2",Hydrometer!$B$3:$B$58,0),MATCH($O$20,Hydrometer!$D$3:$F$3,0))),ISNUMBER(INDEX(Hydrometer!$D$3:$F$58,MATCH("vhb",Hydrometer!$B$3:$B$58,0),MATCH($O$20,Hydrometer!$D$3:$F$3,0))),ISNUMBER(INDEX(Hydrometer!$D$3:$F$58,MATCH("cm",Hydrometer!$B$3:$B$58,0),MATCH($O$20,Hydrometer!$D$3:$F$3,0))),ISNUMBER(INDEX(Cylinder!$F$3:$G$44,MATCH("ac",Cylinder!$B$3:$B$44,0),MATCH($O$18,Cylinder!$F$3:$G$3,0)))),ROUND(INDEX(Hydrometer!$D$3:$F$58,MATCH("hr2",Hydrometer!$B$3:$B$58,0),MATCH($O$20,Hydrometer!$D$3:$F$3,0))/10+((INDEX(Hydrometer!$D$3:$F$58,MATCH("hr1",Hydrometer!$B$3:$B$58,0),MATCH($O$20,Hydrometer!$D$3:$F$3,0))/10-INDEX(Hydrometer!$D$3:$F$58,MATCH("hr2",Hydrometer!$B$3:$B$58,0),MATCH($O$20,Hydrometer!$D$3:$F$3,0))/10)/(INDEX(Hydrometer!$D$3:$F$58,MATCH("r2",Hydrometer!$B$3:$B$58,0),MATCH($O$20,Hydrometer!$D$3:$F$3,0))-INDEX(Hydrometer!$D$3:$F$58,MATCH("r1",Hydrometer!$B$3:$B$58,0),MATCH($O$20,Hydrometer!$D$3:$F$3,0)))*(INDEX(Hydrometer!$D$3:$F$58,MATCH("r2",Hydrometer!$B$3:$B$58,0),MATCH($O$20,Hydrometer!$D$3:$F$3,0))-$C58+INDEX(Hydrometer!$D$3:$F$58,MATCH("cm",Hydrometer!$B$3:$B$58,0),MATCH($O$20,Hydrometer!$D$3:$F$3,0))))-(INDEX(Hydrometer!$D$3:$F$58,MATCH("vhb",Hydrometer!$B$3:$B$58,0),MATCH($O$20,Hydrometer!$D$3:$F$3,0))/(2*INDEX(Cylinder!$F$3:$G$44,MATCH("ac",Cylinder!$B$3:$B$44,0),MATCH($O$18,Cylinder!$F$3:$G$3,0)))),1),"Need Calibration Data"),"Data Out of Range"),"Need Data")</f>
        <v>10.8</v>
      </c>
      <c r="O58" s="307"/>
      <c r="P58" s="238">
        <f t="shared" si="0"/>
        <v>1.1900000000000001E-2</v>
      </c>
      <c r="Q58" s="239"/>
      <c r="R58" s="252">
        <f>IF(ISNUMBER($C58),IF(OR(AND($O$21="152H",AND($C58&gt;=-5,$C58&lt;=60)),AND($O$21="151H",AND($C58&gt;=0.995,$C58&lt;=1.038))),IF(OR(AND($O$49=1,ISNUMBER($G58)),AND($O$49=2,ISNUMBER($K58))),IF(OR(AND($O$49=2,ISNUMBER($K58)),AND($O$49=1,OR(AND($O$21="152H",AND($G58&gt;=-5,$G58&lt;=60)),AND($O$21="151H",AND($G58&gt;=0.995,$G58&lt;=1.038))))),IF(ISNUMBER(INDEX(Cylinder!$F$3:$G$44,MATCH("vsp",Cylinder!$B$3:$B$44,0),MATCH($O$18,Cylinder!$F$3:$G$3,0))), IF(ISNUMBER($H$45), IF(AND($H$45&gt;=2,$H$45&lt;=3), IF(ISNUMBER($I$47), IF($I$47&gt;=50, IF(ISNUMBER($K$65), IF($O$21="151H",ROUND(($H$45/($H$45-1))*(INDEX(Cylinder!$F$3:$G$44,MATCH("vsp",Cylinder!$B$3:$B$44,0),MATCH($O$18,Cylinder!$F$3:$G$3,0))/$K$65)*0.99821*($C58-IF($O$49=1,$G58,$K58))*100,1),ROUND(0.6226*($H$45/($H$45-1))*(INDEX(Cylinder!$F$3:$G$44,MATCH("vsp",Cylinder!$B$3:$B$44,0),MATCH($O$18,Cylinder!$F$3:$G$3,0))/$K$65)*($C58-IF($O$49=1,$G58,$K58))*(100/1000),1)),"Need Dry Mass"),"Moist Mass Too Small"),"Need Moist Mass"),"Soil Gravity Out of Range"),"Need Soil Specific Gravity"),"Need Cylinder Volume"),"T-D Correction Out of Range"),"Need T-D Correction"),"Hydro Reading Out of Range"),"Need Hydrometer Reading")</f>
        <v>44.2</v>
      </c>
      <c r="S58" s="253"/>
      <c r="T58" s="254"/>
    </row>
    <row r="59" spans="2:20" x14ac:dyDescent="0.25">
      <c r="B59" s="201">
        <v>30</v>
      </c>
      <c r="C59" s="250">
        <v>19.75</v>
      </c>
      <c r="D59" s="251"/>
      <c r="E59" s="246">
        <v>21.2</v>
      </c>
      <c r="F59" s="247"/>
      <c r="G59" s="250">
        <v>4</v>
      </c>
      <c r="H59" s="251"/>
      <c r="I59" s="246">
        <v>21</v>
      </c>
      <c r="J59" s="247"/>
      <c r="K59" s="252" cm="1">
        <f t="array" ref="K59">IF(SUMPRODUCT(--ISNUMBER($C59:$E59))=2, IF(OR(OR(AND($O$21="152H",OR($C59&lt;-5,$C59&gt;60)), AND($O$21="151H",OR($C59&lt;0.995,$C59&gt;1.038))), OR($E59&lt;15,AND($E59&gt;30.9,$E59&lt;59),$E59&gt;87.62)),"Data Out of Range",IF(ISNUMBER(INDEX(Hydrometer!$D$3:$F$58,MATCH("A/B",Hydrometer!$B$3:$B$58,0),MATCH($O$20,Hydrometer!$D$3:$F$3,0))),IF(INDEX(Hydrometer!$D$3:$F$4,2,MATCH($O$20,Hydrometer!$D$3:$F$3,0))= "151H",ROUND(INDEX(Hydrometer!$D$3:$F$58,MATCH("A/B",Hydrometer!$B$3:$B$58,0),MATCH($O$20,Hydrometer!$D$3:$F$3,0)) - 7.784*0.000001*IF($E59&lt;40,$E59,($E59-32)*5/9)-(4.959*0.000001*(IF($E59&lt;40,$E59,($E59-32)*5/9)^2)),4),ROUND(INDEX(Hydrometer!$D$3:$F$58,MATCH("A/B",Hydrometer!$B$3:$B$58,0),MATCH($O$20,Hydrometer!$D$3:$F$3,0)) - 1.248*0.01*IF($E59&lt;40,$E59,($E59-32)*5/9)-(7.95*0.001*(IF($E59&lt;40,$E59,($E59-32)*5/9)^2)),1)),"Need Calibration Data")),"Need Data")</f>
        <v>5.8</v>
      </c>
      <c r="L59" s="253"/>
      <c r="M59" s="307"/>
      <c r="N59" s="252">
        <f>IF(ISNUMBER($C59),IF(OR(AND($O$21="152H",AND($C59&gt;=-5,$C59&lt;=60)), AND($O$21="151H",AND($C59&gt;=0.995,$C59&lt;=1.038))),IF(AND(ISNUMBER(INDEX(Hydrometer!$D$3:$F$58,MATCH("hr2",Hydrometer!$B$3:$B$58,0),MATCH($O$20,Hydrometer!$D$3:$F$3,0))),ISNUMBER(INDEX(Hydrometer!$D$3:$F$58,MATCH("hr1",Hydrometer!$B$3:$B$58,0),MATCH($O$20,Hydrometer!$D$3:$F$3,0))),ISNUMBER(INDEX(Hydrometer!$D$3:$F$58,MATCH("r2",Hydrometer!$B$3:$B$58,0),MATCH($O$20,Hydrometer!$D$3:$F$3,0))),ISNUMBER(INDEX(Hydrometer!$D$3:$F$58,MATCH("vhb",Hydrometer!$B$3:$B$58,0),MATCH($O$20,Hydrometer!$D$3:$F$3,0))),ISNUMBER(INDEX(Hydrometer!$D$3:$F$58,MATCH("cm",Hydrometer!$B$3:$B$58,0),MATCH($O$20,Hydrometer!$D$3:$F$3,0))),ISNUMBER(INDEX(Cylinder!$F$3:$G$44,MATCH("ac",Cylinder!$B$3:$B$44,0),MATCH($O$18,Cylinder!$F$3:$G$3,0)))),ROUND(INDEX(Hydrometer!$D$3:$F$58,MATCH("hr2",Hydrometer!$B$3:$B$58,0),MATCH($O$20,Hydrometer!$D$3:$F$3,0))/10+((INDEX(Hydrometer!$D$3:$F$58,MATCH("hr1",Hydrometer!$B$3:$B$58,0),MATCH($O$20,Hydrometer!$D$3:$F$3,0))/10-INDEX(Hydrometer!$D$3:$F$58,MATCH("hr2",Hydrometer!$B$3:$B$58,0),MATCH($O$20,Hydrometer!$D$3:$F$3,0))/10)/(INDEX(Hydrometer!$D$3:$F$58,MATCH("r2",Hydrometer!$B$3:$B$58,0),MATCH($O$20,Hydrometer!$D$3:$F$3,0))-INDEX(Hydrometer!$D$3:$F$58,MATCH("r1",Hydrometer!$B$3:$B$58,0),MATCH($O$20,Hydrometer!$D$3:$F$3,0)))*(INDEX(Hydrometer!$D$3:$F$58,MATCH("r2",Hydrometer!$B$3:$B$58,0),MATCH($O$20,Hydrometer!$D$3:$F$3,0))-$C59+INDEX(Hydrometer!$D$3:$F$58,MATCH("cm",Hydrometer!$B$3:$B$58,0),MATCH($O$20,Hydrometer!$D$3:$F$3,0))))-(INDEX(Hydrometer!$D$3:$F$58,MATCH("vhb",Hydrometer!$B$3:$B$58,0),MATCH($O$20,Hydrometer!$D$3:$F$3,0))/(2*INDEX(Cylinder!$F$3:$G$44,MATCH("ac",Cylinder!$B$3:$B$44,0),MATCH($O$18,Cylinder!$F$3:$G$3,0)))),1),"Need Calibration Data"),"Data Out of Range"),"Need Data")</f>
        <v>11.7</v>
      </c>
      <c r="O59" s="307"/>
      <c r="P59" s="238">
        <f t="shared" si="0"/>
        <v>8.8000000000000005E-3</v>
      </c>
      <c r="Q59" s="239"/>
      <c r="R59" s="252">
        <f>IF(ISNUMBER($C59),IF(OR(AND($O$21="152H",AND($C59&gt;=-5,$C59&lt;=60)),AND($O$21="151H",AND($C59&gt;=0.995,$C59&lt;=1.038))),IF(OR(AND($O$49=1,ISNUMBER($G59)),AND($O$49=2,ISNUMBER($K59))),IF(OR(AND($O$49=2,ISNUMBER($K59)),AND($O$49=1,OR(AND($O$21="152H",AND($G59&gt;=-5,$G59&lt;=60)),AND($O$21="151H",AND($G59&gt;=0.995,$G59&lt;=1.038))))),IF(ISNUMBER(INDEX(Cylinder!$F$3:$G$44,MATCH("vsp",Cylinder!$B$3:$B$44,0),MATCH($O$18,Cylinder!$F$3:$G$3,0))), IF(ISNUMBER($H$45), IF(AND($H$45&gt;=2,$H$45&lt;=3), IF(ISNUMBER($I$47), IF($I$47&gt;=50, IF(ISNUMBER($K$65), IF($O$21="151H",ROUND(($H$45/($H$45-1))*(INDEX(Cylinder!$F$3:$G$44,MATCH("vsp",Cylinder!$B$3:$B$44,0),MATCH($O$18,Cylinder!$F$3:$G$3,0))/$K$65)*0.99821*($C59-IF($O$49=1,$G59,$K59))*100,1),ROUND(0.6226*($H$45/($H$45-1))*(INDEX(Cylinder!$F$3:$G$44,MATCH("vsp",Cylinder!$B$3:$B$44,0),MATCH($O$18,Cylinder!$F$3:$G$3,0))/$K$65)*($C59-IF($O$49=1,$G59,$K59))*(100/1000),1)),"Need Dry Mass"),"Moist Mass Too Small"),"Need Moist Mass"),"Soil Gravity Out of Range"),"Need Soil Specific Gravity"),"Need Cylinder Volume"),"T-D Correction Out of Range"),"Need T-D Correction"),"Hydro Reading Out of Range"),"Need Hydrometer Reading")</f>
        <v>31.3</v>
      </c>
      <c r="S59" s="253"/>
      <c r="T59" s="254"/>
    </row>
    <row r="60" spans="2:20" x14ac:dyDescent="0.25">
      <c r="B60" s="201">
        <v>60</v>
      </c>
      <c r="C60" s="250">
        <v>17</v>
      </c>
      <c r="D60" s="251"/>
      <c r="E60" s="246">
        <v>21.2</v>
      </c>
      <c r="F60" s="247"/>
      <c r="G60" s="250">
        <v>4.25</v>
      </c>
      <c r="H60" s="251"/>
      <c r="I60" s="246">
        <v>21</v>
      </c>
      <c r="J60" s="247"/>
      <c r="K60" s="252" cm="1">
        <f t="array" ref="K60">IF(SUMPRODUCT(--ISNUMBER($C60:$E60))=2, IF(OR(OR(AND($O$21="152H",OR($C60&lt;-5,$C60&gt;60)), AND($O$21="151H",OR($C60&lt;0.995,$C60&gt;1.038))), OR($E60&lt;15,AND($E60&gt;30.9,$E60&lt;59),$E60&gt;87.62)),"Data Out of Range",IF(ISNUMBER(INDEX(Hydrometer!$D$3:$F$58,MATCH("A/B",Hydrometer!$B$3:$B$58,0),MATCH($O$20,Hydrometer!$D$3:$F$3,0))),IF(INDEX(Hydrometer!$D$3:$F$4,2,MATCH($O$20,Hydrometer!$D$3:$F$3,0))= "151H",ROUND(INDEX(Hydrometer!$D$3:$F$58,MATCH("A/B",Hydrometer!$B$3:$B$58,0),MATCH($O$20,Hydrometer!$D$3:$F$3,0)) - 7.784*0.000001*IF($E60&lt;40,$E60,($E60-32)*5/9)-(4.959*0.000001*(IF($E60&lt;40,$E60,($E60-32)*5/9)^2)),4),ROUND(INDEX(Hydrometer!$D$3:$F$58,MATCH("A/B",Hydrometer!$B$3:$B$58,0),MATCH($O$20,Hydrometer!$D$3:$F$3,0)) - 1.248*0.01*IF($E60&lt;40,$E60,($E60-32)*5/9)-(7.95*0.001*(IF($E60&lt;40,$E60,($E60-32)*5/9)^2)),1)),"Need Calibration Data")),"Need Data")</f>
        <v>5.8</v>
      </c>
      <c r="L60" s="253"/>
      <c r="M60" s="307"/>
      <c r="N60" s="252">
        <f>IF(ISNUMBER($C60),IF(OR(AND($O$21="152H",AND($C60&gt;=-5,$C60&lt;=60)), AND($O$21="151H",AND($C60&gt;=0.995,$C60&lt;=1.038))),IF(AND(ISNUMBER(INDEX(Hydrometer!$D$3:$F$58,MATCH("hr2",Hydrometer!$B$3:$B$58,0),MATCH($O$20,Hydrometer!$D$3:$F$3,0))),ISNUMBER(INDEX(Hydrometer!$D$3:$F$58,MATCH("hr1",Hydrometer!$B$3:$B$58,0),MATCH($O$20,Hydrometer!$D$3:$F$3,0))),ISNUMBER(INDEX(Hydrometer!$D$3:$F$58,MATCH("r2",Hydrometer!$B$3:$B$58,0),MATCH($O$20,Hydrometer!$D$3:$F$3,0))),ISNUMBER(INDEX(Hydrometer!$D$3:$F$58,MATCH("vhb",Hydrometer!$B$3:$B$58,0),MATCH($O$20,Hydrometer!$D$3:$F$3,0))),ISNUMBER(INDEX(Hydrometer!$D$3:$F$58,MATCH("cm",Hydrometer!$B$3:$B$58,0),MATCH($O$20,Hydrometer!$D$3:$F$3,0))),ISNUMBER(INDEX(Cylinder!$F$3:$G$44,MATCH("ac",Cylinder!$B$3:$B$44,0),MATCH($O$18,Cylinder!$F$3:$G$3,0)))),ROUND(INDEX(Hydrometer!$D$3:$F$58,MATCH("hr2",Hydrometer!$B$3:$B$58,0),MATCH($O$20,Hydrometer!$D$3:$F$3,0))/10+((INDEX(Hydrometer!$D$3:$F$58,MATCH("hr1",Hydrometer!$B$3:$B$58,0),MATCH($O$20,Hydrometer!$D$3:$F$3,0))/10-INDEX(Hydrometer!$D$3:$F$58,MATCH("hr2",Hydrometer!$B$3:$B$58,0),MATCH($O$20,Hydrometer!$D$3:$F$3,0))/10)/(INDEX(Hydrometer!$D$3:$F$58,MATCH("r2",Hydrometer!$B$3:$B$58,0),MATCH($O$20,Hydrometer!$D$3:$F$3,0))-INDEX(Hydrometer!$D$3:$F$58,MATCH("r1",Hydrometer!$B$3:$B$58,0),MATCH($O$20,Hydrometer!$D$3:$F$3,0)))*(INDEX(Hydrometer!$D$3:$F$58,MATCH("r2",Hydrometer!$B$3:$B$58,0),MATCH($O$20,Hydrometer!$D$3:$F$3,0))-$C60+INDEX(Hydrometer!$D$3:$F$58,MATCH("cm",Hydrometer!$B$3:$B$58,0),MATCH($O$20,Hydrometer!$D$3:$F$3,0))))-(INDEX(Hydrometer!$D$3:$F$58,MATCH("vhb",Hydrometer!$B$3:$B$58,0),MATCH($O$20,Hydrometer!$D$3:$F$3,0))/(2*INDEX(Cylinder!$F$3:$G$44,MATCH("ac",Cylinder!$B$3:$B$44,0),MATCH($O$18,Cylinder!$F$3:$G$3,0)))),1),"Need Calibration Data"),"Data Out of Range"),"Need Data")</f>
        <v>12.2</v>
      </c>
      <c r="O60" s="307"/>
      <c r="P60" s="238">
        <f t="shared" si="0"/>
        <v>6.3E-3</v>
      </c>
      <c r="Q60" s="239"/>
      <c r="R60" s="252">
        <f>IF(ISNUMBER($C60),IF(OR(AND($O$21="152H",AND($C60&gt;=-5,$C60&lt;=60)),AND($O$21="151H",AND($C60&gt;=0.995,$C60&lt;=1.038))),IF(OR(AND($O$49=1,ISNUMBER($G60)),AND($O$49=2,ISNUMBER($K60))),IF(OR(AND($O$49=2,ISNUMBER($K60)),AND($O$49=1,OR(AND($O$21="152H",AND($G60&gt;=-5,$G60&lt;=60)),AND($O$21="151H",AND($G60&gt;=0.995,$G60&lt;=1.038))))),IF(ISNUMBER(INDEX(Cylinder!$F$3:$G$44,MATCH("vsp",Cylinder!$B$3:$B$44,0),MATCH($O$18,Cylinder!$F$3:$G$3,0))), IF(ISNUMBER($H$45), IF(AND($H$45&gt;=2,$H$45&lt;=3), IF(ISNUMBER($I$47), IF($I$47&gt;=50, IF(ISNUMBER($K$65), IF($O$21="151H",ROUND(($H$45/($H$45-1))*(INDEX(Cylinder!$F$3:$G$44,MATCH("vsp",Cylinder!$B$3:$B$44,0),MATCH($O$18,Cylinder!$F$3:$G$3,0))/$K$65)*0.99821*($C60-IF($O$49=1,$G60,$K60))*100,1),ROUND(0.6226*($H$45/($H$45-1))*(INDEX(Cylinder!$F$3:$G$44,MATCH("vsp",Cylinder!$B$3:$B$44,0),MATCH($O$18,Cylinder!$F$3:$G$3,0))/$K$65)*($C60-IF($O$49=1,$G60,$K60))*(100/1000),1)),"Need Dry Mass"),"Moist Mass Too Small"),"Need Moist Mass"),"Soil Gravity Out of Range"),"Need Soil Specific Gravity"),"Need Cylinder Volume"),"T-D Correction Out of Range"),"Need T-D Correction"),"Hydro Reading Out of Range"),"Need Hydrometer Reading")</f>
        <v>25.1</v>
      </c>
      <c r="S60" s="253"/>
      <c r="T60" s="254"/>
    </row>
    <row r="61" spans="2:20" x14ac:dyDescent="0.25">
      <c r="B61" s="201">
        <v>240</v>
      </c>
      <c r="C61" s="250">
        <v>15</v>
      </c>
      <c r="D61" s="251"/>
      <c r="E61" s="246">
        <v>21.1</v>
      </c>
      <c r="F61" s="247"/>
      <c r="G61" s="250">
        <v>4.25</v>
      </c>
      <c r="H61" s="251"/>
      <c r="I61" s="246">
        <v>21.4</v>
      </c>
      <c r="J61" s="247"/>
      <c r="K61" s="252" cm="1">
        <f t="array" ref="K61">IF(SUMPRODUCT(--ISNUMBER($C61:$E61))=2, IF(OR(OR(AND($O$21="152H",OR($C61&lt;-5,$C61&gt;60)), AND($O$21="151H",OR($C61&lt;0.995,$C61&gt;1.038))), OR($E61&lt;15,AND($E61&gt;30.9,$E61&lt;59),$E61&gt;87.62)),"Data Out of Range",IF(ISNUMBER(INDEX(Hydrometer!$D$3:$F$58,MATCH("A/B",Hydrometer!$B$3:$B$58,0),MATCH($O$20,Hydrometer!$D$3:$F$3,0))),IF(INDEX(Hydrometer!$D$3:$F$4,2,MATCH($O$20,Hydrometer!$D$3:$F$3,0))= "151H",ROUND(INDEX(Hydrometer!$D$3:$F$58,MATCH("A/B",Hydrometer!$B$3:$B$58,0),MATCH($O$20,Hydrometer!$D$3:$F$3,0)) - 7.784*0.000001*IF($E61&lt;40,$E61,($E61-32)*5/9)-(4.959*0.000001*(IF($E61&lt;40,$E61,($E61-32)*5/9)^2)),4),ROUND(INDEX(Hydrometer!$D$3:$F$58,MATCH("A/B",Hydrometer!$B$3:$B$58,0),MATCH($O$20,Hydrometer!$D$3:$F$3,0)) - 1.248*0.01*IF($E61&lt;40,$E61,($E61-32)*5/9)-(7.95*0.001*(IF($E61&lt;40,$E61,($E61-32)*5/9)^2)),1)),"Need Calibration Data")),"Need Data")</f>
        <v>5.8</v>
      </c>
      <c r="L61" s="253"/>
      <c r="M61" s="307"/>
      <c r="N61" s="252">
        <f>IF(ISNUMBER($C61),IF(OR(AND($O$21="152H",AND($C61&gt;=-5,$C61&lt;=60)), AND($O$21="151H",AND($C61&gt;=0.995,$C61&lt;=1.038))),IF(AND(ISNUMBER(INDEX(Hydrometer!$D$3:$F$58,MATCH("hr2",Hydrometer!$B$3:$B$58,0),MATCH($O$20,Hydrometer!$D$3:$F$3,0))),ISNUMBER(INDEX(Hydrometer!$D$3:$F$58,MATCH("hr1",Hydrometer!$B$3:$B$58,0),MATCH($O$20,Hydrometer!$D$3:$F$3,0))),ISNUMBER(INDEX(Hydrometer!$D$3:$F$58,MATCH("r2",Hydrometer!$B$3:$B$58,0),MATCH($O$20,Hydrometer!$D$3:$F$3,0))),ISNUMBER(INDEX(Hydrometer!$D$3:$F$58,MATCH("vhb",Hydrometer!$B$3:$B$58,0),MATCH($O$20,Hydrometer!$D$3:$F$3,0))),ISNUMBER(INDEX(Hydrometer!$D$3:$F$58,MATCH("cm",Hydrometer!$B$3:$B$58,0),MATCH($O$20,Hydrometer!$D$3:$F$3,0))),ISNUMBER(INDEX(Cylinder!$F$3:$G$44,MATCH("ac",Cylinder!$B$3:$B$44,0),MATCH($O$18,Cylinder!$F$3:$G$3,0)))),ROUND(INDEX(Hydrometer!$D$3:$F$58,MATCH("hr2",Hydrometer!$B$3:$B$58,0),MATCH($O$20,Hydrometer!$D$3:$F$3,0))/10+((INDEX(Hydrometer!$D$3:$F$58,MATCH("hr1",Hydrometer!$B$3:$B$58,0),MATCH($O$20,Hydrometer!$D$3:$F$3,0))/10-INDEX(Hydrometer!$D$3:$F$58,MATCH("hr2",Hydrometer!$B$3:$B$58,0),MATCH($O$20,Hydrometer!$D$3:$F$3,0))/10)/(INDEX(Hydrometer!$D$3:$F$58,MATCH("r2",Hydrometer!$B$3:$B$58,0),MATCH($O$20,Hydrometer!$D$3:$F$3,0))-INDEX(Hydrometer!$D$3:$F$58,MATCH("r1",Hydrometer!$B$3:$B$58,0),MATCH($O$20,Hydrometer!$D$3:$F$3,0)))*(INDEX(Hydrometer!$D$3:$F$58,MATCH("r2",Hydrometer!$B$3:$B$58,0),MATCH($O$20,Hydrometer!$D$3:$F$3,0))-$C61+INDEX(Hydrometer!$D$3:$F$58,MATCH("cm",Hydrometer!$B$3:$B$58,0),MATCH($O$20,Hydrometer!$D$3:$F$3,0))))-(INDEX(Hydrometer!$D$3:$F$58,MATCH("vhb",Hydrometer!$B$3:$B$58,0),MATCH($O$20,Hydrometer!$D$3:$F$3,0))/(2*INDEX(Cylinder!$F$3:$G$44,MATCH("ac",Cylinder!$B$3:$B$44,0),MATCH($O$18,Cylinder!$F$3:$G$3,0)))),1),"Need Calibration Data"),"Data Out of Range"),"Need Data")</f>
        <v>12.5</v>
      </c>
      <c r="O61" s="307"/>
      <c r="P61" s="238">
        <f t="shared" si="0"/>
        <v>3.2000000000000002E-3</v>
      </c>
      <c r="Q61" s="239"/>
      <c r="R61" s="252">
        <f>IF(ISNUMBER($C61),IF(OR(AND($O$21="152H",AND($C61&gt;=-5,$C61&lt;=60)),AND($O$21="151H",AND($C61&gt;=0.995,$C61&lt;=1.038))),IF(OR(AND($O$49=1,ISNUMBER($G61)),AND($O$49=2,ISNUMBER($K61))),IF(OR(AND($O$49=2,ISNUMBER($K61)),AND($O$49=1,OR(AND($O$21="152H",AND($G61&gt;=-5,$G61&lt;=60)),AND($O$21="151H",AND($G61&gt;=0.995,$G61&lt;=1.038))))),IF(ISNUMBER(INDEX(Cylinder!$F$3:$G$44,MATCH("vsp",Cylinder!$B$3:$B$44,0),MATCH($O$18,Cylinder!$F$3:$G$3,0))), IF(ISNUMBER($H$45), IF(AND($H$45&gt;=2,$H$45&lt;=3), IF(ISNUMBER($I$47), IF($I$47&gt;=50, IF(ISNUMBER($K$65), IF($O$21="151H",ROUND(($H$45/($H$45-1))*(INDEX(Cylinder!$F$3:$G$44,MATCH("vsp",Cylinder!$B$3:$B$44,0),MATCH($O$18,Cylinder!$F$3:$G$3,0))/$K$65)*0.99821*($C61-IF($O$49=1,$G61,$K61))*100,1),ROUND(0.6226*($H$45/($H$45-1))*(INDEX(Cylinder!$F$3:$G$44,MATCH("vsp",Cylinder!$B$3:$B$44,0),MATCH($O$18,Cylinder!$F$3:$G$3,0))/$K$65)*($C61-IF($O$49=1,$G61,$K61))*(100/1000),1)),"Need Dry Mass"),"Moist Mass Too Small"),"Need Moist Mass"),"Soil Gravity Out of Range"),"Need Soil Specific Gravity"),"Need Cylinder Volume"),"T-D Correction Out of Range"),"Need T-D Correction"),"Hydro Reading Out of Range"),"Need Hydrometer Reading")</f>
        <v>20.6</v>
      </c>
      <c r="S61" s="253"/>
      <c r="T61" s="254"/>
    </row>
    <row r="62" spans="2:20" ht="15.75" thickBot="1" x14ac:dyDescent="0.3">
      <c r="B62" s="202">
        <v>1440</v>
      </c>
      <c r="C62" s="301">
        <v>8.75</v>
      </c>
      <c r="D62" s="302"/>
      <c r="E62" s="248">
        <v>21.1</v>
      </c>
      <c r="F62" s="249"/>
      <c r="G62" s="301">
        <v>4</v>
      </c>
      <c r="H62" s="302"/>
      <c r="I62" s="246">
        <v>21.2</v>
      </c>
      <c r="J62" s="247"/>
      <c r="K62" s="320" cm="1">
        <f t="array" ref="K62">IF(SUMPRODUCT(--ISNUMBER($C62:$E62))=2, IF(OR(OR(AND($O$21="152H",OR($C62&lt;-5,$C62&gt;60)), AND($O$21="151H",OR($C62&lt;0.995,$C62&gt;1.038))), OR($E62&lt;15,AND($E62&gt;30.9,$E62&lt;59),$E62&gt;87.62)),"Data Out of Range",IF(ISNUMBER(INDEX(Hydrometer!$D$3:$F$58,MATCH("A/B",Hydrometer!$B$3:$B$58,0),MATCH($O$20,Hydrometer!$D$3:$F$3,0))),IF(INDEX(Hydrometer!$D$3:$F$4,2,MATCH($O$20,Hydrometer!$D$3:$F$3,0))= "151H",ROUND(INDEX(Hydrometer!$D$3:$F$58,MATCH("A/B",Hydrometer!$B$3:$B$58,0),MATCH($O$20,Hydrometer!$D$3:$F$3,0)) - 7.784*0.000001*IF($E62&lt;40,$E62,($E62-32)*5/9)-(4.959*0.000001*(IF($E62&lt;40,$E62,($E62-32)*5/9)^2)),4),ROUND(INDEX(Hydrometer!$D$3:$F$58,MATCH("A/B",Hydrometer!$B$3:$B$58,0),MATCH($O$20,Hydrometer!$D$3:$F$3,0)) - 1.248*0.01*IF($E62&lt;40,$E62,($E62-32)*5/9)-(7.95*0.001*(IF($E62&lt;40,$E62,($E62-32)*5/9)^2)),1)),"Need Calibration Data")),"Need Data")</f>
        <v>5.8</v>
      </c>
      <c r="L62" s="321"/>
      <c r="M62" s="322"/>
      <c r="N62" s="320">
        <f>IF(ISNUMBER($C62),IF(OR(AND($O$21="152H",AND($C62&gt;=-5,$C62&lt;=60)), AND($O$21="151H",AND($C62&gt;=0.995,$C62&lt;=1.038))),IF(AND(ISNUMBER(INDEX(Hydrometer!$D$3:$F$58,MATCH("hr2",Hydrometer!$B$3:$B$58,0),MATCH($O$20,Hydrometer!$D$3:$F$3,0))),ISNUMBER(INDEX(Hydrometer!$D$3:$F$58,MATCH("hr1",Hydrometer!$B$3:$B$58,0),MATCH($O$20,Hydrometer!$D$3:$F$3,0))),ISNUMBER(INDEX(Hydrometer!$D$3:$F$58,MATCH("r2",Hydrometer!$B$3:$B$58,0),MATCH($O$20,Hydrometer!$D$3:$F$3,0))),ISNUMBER(INDEX(Hydrometer!$D$3:$F$58,MATCH("vhb",Hydrometer!$B$3:$B$58,0),MATCH($O$20,Hydrometer!$D$3:$F$3,0))),ISNUMBER(INDEX(Hydrometer!$D$3:$F$58,MATCH("cm",Hydrometer!$B$3:$B$58,0),MATCH($O$20,Hydrometer!$D$3:$F$3,0))),ISNUMBER(INDEX(Cylinder!$F$3:$G$44,MATCH("ac",Cylinder!$B$3:$B$44,0),MATCH($O$18,Cylinder!$F$3:$G$3,0)))),ROUND(INDEX(Hydrometer!$D$3:$F$58,MATCH("hr2",Hydrometer!$B$3:$B$58,0),MATCH($O$20,Hydrometer!$D$3:$F$3,0))/10+((INDEX(Hydrometer!$D$3:$F$58,MATCH("hr1",Hydrometer!$B$3:$B$58,0),MATCH($O$20,Hydrometer!$D$3:$F$3,0))/10-INDEX(Hydrometer!$D$3:$F$58,MATCH("hr2",Hydrometer!$B$3:$B$58,0),MATCH($O$20,Hydrometer!$D$3:$F$3,0))/10)/(INDEX(Hydrometer!$D$3:$F$58,MATCH("r2",Hydrometer!$B$3:$B$58,0),MATCH($O$20,Hydrometer!$D$3:$F$3,0))-INDEX(Hydrometer!$D$3:$F$58,MATCH("r1",Hydrometer!$B$3:$B$58,0),MATCH($O$20,Hydrometer!$D$3:$F$3,0)))*(INDEX(Hydrometer!$D$3:$F$58,MATCH("r2",Hydrometer!$B$3:$B$58,0),MATCH($O$20,Hydrometer!$D$3:$F$3,0))-$C62+INDEX(Hydrometer!$D$3:$F$58,MATCH("cm",Hydrometer!$B$3:$B$58,0),MATCH($O$20,Hydrometer!$D$3:$F$3,0))))-(INDEX(Hydrometer!$D$3:$F$58,MATCH("vhb",Hydrometer!$B$3:$B$58,0),MATCH($O$20,Hydrometer!$D$3:$F$3,0))/(2*INDEX(Cylinder!$F$3:$G$44,MATCH("ac",Cylinder!$B$3:$B$44,0),MATCH($O$18,Cylinder!$F$3:$G$3,0)))),1),"Need Calibration Data"),"Data Out of Range"),"Need Data")</f>
        <v>13.5</v>
      </c>
      <c r="O62" s="322"/>
      <c r="P62" s="238">
        <f t="shared" si="0"/>
        <v>1.4E-3</v>
      </c>
      <c r="Q62" s="239"/>
      <c r="R62" s="252">
        <f>IF(ISNUMBER($C62),IF(OR(AND($O$21="152H",AND($C62&gt;=-5,$C62&lt;=60)),AND($O$21="151H",AND($C62&gt;=0.995,$C62&lt;=1.038))),IF(OR(AND($O$49=1,ISNUMBER($G62)),AND($O$49=2,ISNUMBER($K62))),IF(OR(AND($O$49=2,ISNUMBER($K62)),AND($O$49=1,OR(AND($O$21="152H",AND($G62&gt;=-5,$G62&lt;=60)),AND($O$21="151H",AND($G62&gt;=0.995,$G62&lt;=1.038))))),IF(ISNUMBER(INDEX(Cylinder!$F$3:$G$44,MATCH("vsp",Cylinder!$B$3:$B$44,0),MATCH($O$18,Cylinder!$F$3:$G$3,0))), IF(ISNUMBER($H$45), IF(AND($H$45&gt;=2,$H$45&lt;=3), IF(ISNUMBER($I$47), IF($I$47&gt;=50, IF(ISNUMBER($K$65), IF($O$21="151H",ROUND(($H$45/($H$45-1))*(INDEX(Cylinder!$F$3:$G$44,MATCH("vsp",Cylinder!$B$3:$B$44,0),MATCH($O$18,Cylinder!$F$3:$G$3,0))/$K$65)*0.99821*($C62-IF($O$49=1,$G62,$K62))*100,1),ROUND(0.6226*($H$45/($H$45-1))*(INDEX(Cylinder!$F$3:$G$44,MATCH("vsp",Cylinder!$B$3:$B$44,0),MATCH($O$18,Cylinder!$F$3:$G$3,0))/$K$65)*($C62-IF($O$49=1,$G62,$K62))*(100/1000),1)),"Need Dry Mass"),"Moist Mass Too Small"),"Need Moist Mass"),"Soil Gravity Out of Range"),"Need Soil Specific Gravity"),"Need Cylinder Volume"),"T-D Correction Out of Range"),"Need T-D Correction"),"Hydro Reading Out of Range"),"Need Hydrometer Reading")</f>
        <v>6.6</v>
      </c>
      <c r="S62" s="253"/>
      <c r="T62" s="254"/>
    </row>
    <row r="63" spans="2:20" ht="15.75" thickBot="1" x14ac:dyDescent="0.3">
      <c r="B63" s="303" t="s">
        <v>185</v>
      </c>
      <c r="C63" s="284"/>
      <c r="D63" s="284"/>
      <c r="E63" s="284"/>
      <c r="F63" s="284"/>
      <c r="G63" s="284"/>
      <c r="H63" s="284"/>
      <c r="I63" s="284"/>
      <c r="J63" s="284"/>
      <c r="K63" s="284"/>
      <c r="L63" s="284"/>
      <c r="M63" s="284"/>
      <c r="N63" s="284"/>
      <c r="O63" s="284"/>
      <c r="P63" s="284"/>
      <c r="Q63" s="284"/>
      <c r="R63" s="284"/>
      <c r="S63" s="284"/>
      <c r="T63" s="304"/>
    </row>
    <row r="64" spans="2:20" x14ac:dyDescent="0.25">
      <c r="B64" s="167"/>
      <c r="C64" s="41"/>
      <c r="D64" s="41"/>
      <c r="E64" s="152"/>
      <c r="F64" s="152"/>
      <c r="G64" s="41"/>
      <c r="H64" s="41"/>
      <c r="I64" s="40"/>
      <c r="J64" s="1" t="s">
        <v>186</v>
      </c>
      <c r="K64" s="41">
        <f>IF(T38=2,IF(ISNUMBER(R42),R42-R40,"Need Data"),"n/a")</f>
        <v>50.590000000000018</v>
      </c>
      <c r="L64" s="45" t="str">
        <f>IF(ISNUMBER(K64),"g","")</f>
        <v>g</v>
      </c>
      <c r="M64" s="152"/>
      <c r="N64" s="152"/>
      <c r="O64" s="152"/>
      <c r="P64" s="44"/>
      <c r="Q64" s="44"/>
      <c r="R64" s="152"/>
      <c r="S64" s="152"/>
      <c r="T64" s="168"/>
    </row>
    <row r="65" spans="2:20" x14ac:dyDescent="0.25">
      <c r="B65" s="167"/>
      <c r="C65" s="41"/>
      <c r="D65" s="41"/>
      <c r="E65" s="152"/>
      <c r="F65" s="152"/>
      <c r="G65" s="41"/>
      <c r="H65" s="41"/>
      <c r="I65" s="41"/>
      <c r="J65" s="1" t="s">
        <v>187</v>
      </c>
      <c r="K65" s="41">
        <f>IF(T38=2,IF(AND(ISNUMBER(R42),ISNUMBER(R47)),R42-R47-R40,"Need Data"),IF(AND(ISNUMBER(I47),ISNUMBER(R43)),ROUND(I47/(1+(R43/100)),2),"Need Data"))</f>
        <v>45.590000000000018</v>
      </c>
      <c r="L65" s="45" t="s">
        <v>7</v>
      </c>
      <c r="M65" s="152"/>
      <c r="N65" s="152"/>
      <c r="O65" s="152"/>
      <c r="P65" s="44"/>
      <c r="Q65" s="44"/>
      <c r="R65" s="152"/>
      <c r="S65" s="152"/>
      <c r="T65" s="168"/>
    </row>
    <row r="66" spans="2:20" x14ac:dyDescent="0.25">
      <c r="B66" s="167"/>
      <c r="C66" s="41"/>
      <c r="D66" s="41"/>
      <c r="E66" s="152"/>
      <c r="F66" s="152"/>
      <c r="G66" s="41"/>
      <c r="H66" s="41"/>
      <c r="I66" s="41"/>
      <c r="J66" s="1" t="s">
        <v>188</v>
      </c>
      <c r="K66" s="103">
        <v>21.65</v>
      </c>
      <c r="L66" s="45" t="s">
        <v>7</v>
      </c>
      <c r="M66" s="41"/>
      <c r="N66" s="152"/>
      <c r="O66" s="152"/>
      <c r="P66" s="44"/>
      <c r="Q66" s="44"/>
      <c r="R66" s="152"/>
      <c r="S66" s="152"/>
      <c r="T66" s="168"/>
    </row>
    <row r="67" spans="2:20" ht="15.75" thickBot="1" x14ac:dyDescent="0.3">
      <c r="B67" s="166"/>
      <c r="C67" s="42"/>
      <c r="D67" s="42"/>
      <c r="E67" s="153"/>
      <c r="F67" s="153"/>
      <c r="G67" s="42"/>
      <c r="H67" s="42"/>
      <c r="I67" s="42"/>
      <c r="J67" s="48" t="s">
        <v>189</v>
      </c>
      <c r="K67" s="153">
        <f>IF(AND(ISNUMBER(K66),ISNUMBER(K65)),ROUND(100*(1-K66/K65),1),"Need Data")</f>
        <v>52.5</v>
      </c>
      <c r="L67" s="46" t="s">
        <v>9</v>
      </c>
      <c r="M67" s="153"/>
      <c r="N67" s="153"/>
      <c r="O67" s="153"/>
      <c r="P67" s="47"/>
      <c r="Q67" s="47"/>
      <c r="R67" s="153"/>
      <c r="S67" s="153"/>
      <c r="T67" s="169"/>
    </row>
    <row r="68" spans="2:20" x14ac:dyDescent="0.25">
      <c r="B68" s="167"/>
      <c r="F68" s="27"/>
      <c r="P68" s="69"/>
      <c r="T68" s="162"/>
    </row>
    <row r="69" spans="2:20" x14ac:dyDescent="0.25">
      <c r="B69" s="167"/>
      <c r="E69" s="69"/>
      <c r="T69" s="162"/>
    </row>
    <row r="70" spans="2:20" x14ac:dyDescent="0.25">
      <c r="B70" s="170"/>
      <c r="E70" s="27"/>
      <c r="T70" s="162"/>
    </row>
    <row r="71" spans="2:20" x14ac:dyDescent="0.25">
      <c r="B71" s="167"/>
      <c r="E71">
        <v>7.4999999999999997E-2</v>
      </c>
      <c r="F71" s="6">
        <f>K67</f>
        <v>52.5</v>
      </c>
      <c r="K71" s="171"/>
      <c r="P71" s="1"/>
      <c r="T71" s="162"/>
    </row>
    <row r="72" spans="2:20" x14ac:dyDescent="0.25">
      <c r="B72" s="167"/>
      <c r="E72">
        <f t="shared" ref="E72:E80" si="1">P54</f>
        <v>4.0599999999999997E-2</v>
      </c>
      <c r="F72" s="6">
        <f t="shared" ref="F72:F80" si="2">R54</f>
        <v>75.8</v>
      </c>
      <c r="T72" s="162"/>
    </row>
    <row r="73" spans="2:20" x14ac:dyDescent="0.25">
      <c r="B73" s="170"/>
      <c r="E73">
        <f t="shared" si="1"/>
        <v>2.9700000000000001E-2</v>
      </c>
      <c r="F73" s="6">
        <f t="shared" si="2"/>
        <v>67.400000000000006</v>
      </c>
      <c r="O73" s="171"/>
      <c r="T73" s="162"/>
    </row>
    <row r="74" spans="2:20" x14ac:dyDescent="0.25">
      <c r="B74" s="172"/>
      <c r="E74">
        <f t="shared" si="1"/>
        <v>2.18E-2</v>
      </c>
      <c r="F74" s="6">
        <f t="shared" si="2"/>
        <v>58.8</v>
      </c>
      <c r="T74" s="162"/>
    </row>
    <row r="75" spans="2:20" x14ac:dyDescent="0.25">
      <c r="B75" s="170"/>
      <c r="E75">
        <f t="shared" si="1"/>
        <v>1.5800000000000002E-2</v>
      </c>
      <c r="F75" s="6">
        <f t="shared" si="2"/>
        <v>51.1</v>
      </c>
      <c r="T75" s="162"/>
    </row>
    <row r="76" spans="2:20" x14ac:dyDescent="0.25">
      <c r="B76" s="170"/>
      <c r="E76">
        <f t="shared" si="1"/>
        <v>1.1900000000000001E-2</v>
      </c>
      <c r="F76" s="6">
        <f t="shared" si="2"/>
        <v>44.2</v>
      </c>
      <c r="T76" s="162"/>
    </row>
    <row r="77" spans="2:20" x14ac:dyDescent="0.25">
      <c r="B77" s="167"/>
      <c r="E77">
        <f t="shared" si="1"/>
        <v>8.8000000000000005E-3</v>
      </c>
      <c r="F77" s="6">
        <f t="shared" si="2"/>
        <v>31.3</v>
      </c>
      <c r="T77" s="162"/>
    </row>
    <row r="78" spans="2:20" x14ac:dyDescent="0.25">
      <c r="B78" s="167"/>
      <c r="E78">
        <f t="shared" si="1"/>
        <v>6.3E-3</v>
      </c>
      <c r="F78" s="6">
        <f t="shared" si="2"/>
        <v>25.1</v>
      </c>
      <c r="T78" s="162"/>
    </row>
    <row r="79" spans="2:20" x14ac:dyDescent="0.25">
      <c r="B79" s="167"/>
      <c r="E79">
        <f t="shared" si="1"/>
        <v>3.2000000000000002E-3</v>
      </c>
      <c r="F79" s="6">
        <f t="shared" si="2"/>
        <v>20.6</v>
      </c>
      <c r="T79" s="162"/>
    </row>
    <row r="80" spans="2:20" x14ac:dyDescent="0.25">
      <c r="B80" s="167"/>
      <c r="E80">
        <f t="shared" si="1"/>
        <v>1.4E-3</v>
      </c>
      <c r="F80" s="6">
        <f t="shared" si="2"/>
        <v>6.6</v>
      </c>
      <c r="T80" s="162"/>
    </row>
    <row r="81" spans="2:20" x14ac:dyDescent="0.25">
      <c r="B81" s="167"/>
      <c r="T81" s="162"/>
    </row>
    <row r="82" spans="2:20" x14ac:dyDescent="0.25">
      <c r="B82" s="167"/>
      <c r="T82" s="162"/>
    </row>
    <row r="83" spans="2:20" x14ac:dyDescent="0.25">
      <c r="B83" s="167"/>
      <c r="T83" s="162"/>
    </row>
    <row r="84" spans="2:20" x14ac:dyDescent="0.25">
      <c r="B84" s="167"/>
      <c r="T84" s="162"/>
    </row>
    <row r="85" spans="2:20" x14ac:dyDescent="0.25">
      <c r="B85" s="167"/>
      <c r="T85" s="162"/>
    </row>
    <row r="86" spans="2:20" x14ac:dyDescent="0.25">
      <c r="B86" s="167"/>
      <c r="T86" s="162"/>
    </row>
    <row r="87" spans="2:20" x14ac:dyDescent="0.25">
      <c r="B87" s="167"/>
      <c r="T87" s="162"/>
    </row>
    <row r="88" spans="2:20" ht="15.75" thickBot="1" x14ac:dyDescent="0.3">
      <c r="B88" s="173"/>
      <c r="C88" s="174"/>
      <c r="D88" s="174"/>
      <c r="E88" s="174"/>
      <c r="F88" s="174"/>
      <c r="G88" s="174"/>
      <c r="H88" s="174"/>
      <c r="I88" s="174"/>
      <c r="J88" s="174"/>
      <c r="K88" s="174"/>
      <c r="L88" s="174"/>
      <c r="M88" s="174"/>
      <c r="N88" s="174"/>
      <c r="O88" s="174"/>
      <c r="P88" s="174"/>
      <c r="Q88" s="174"/>
      <c r="R88" s="174"/>
      <c r="S88" s="174"/>
      <c r="T88" s="175"/>
    </row>
    <row r="89" spans="2:20" ht="15.75" thickTop="1" x14ac:dyDescent="0.25"/>
    <row r="93" spans="2:20" x14ac:dyDescent="0.25">
      <c r="B93" s="206" t="s">
        <v>199</v>
      </c>
      <c r="C93" s="206"/>
      <c r="D93" s="206"/>
      <c r="E93" s="306">
        <v>44266</v>
      </c>
      <c r="F93" s="306"/>
      <c r="S93" s="305" t="s">
        <v>212</v>
      </c>
      <c r="T93" s="305"/>
    </row>
    <row r="114" spans="4:10" x14ac:dyDescent="0.25">
      <c r="D114" s="240"/>
      <c r="E114" s="240"/>
      <c r="F114" s="240"/>
      <c r="G114" s="240"/>
      <c r="H114" s="240"/>
      <c r="I114" s="240"/>
      <c r="J114" s="240"/>
    </row>
    <row r="126" spans="4:10" x14ac:dyDescent="0.25">
      <c r="D126" s="240"/>
      <c r="E126" s="240"/>
    </row>
    <row r="135" spans="4:5" x14ac:dyDescent="0.25">
      <c r="D135" s="240"/>
      <c r="E135" s="240"/>
    </row>
  </sheetData>
  <sheetProtection sheet="1" selectLockedCells="1"/>
  <mergeCells count="198">
    <mergeCell ref="G62:H62"/>
    <mergeCell ref="I62:J62"/>
    <mergeCell ref="K62:M62"/>
    <mergeCell ref="N62:O62"/>
    <mergeCell ref="G58:H58"/>
    <mergeCell ref="I58:J58"/>
    <mergeCell ref="K58:M58"/>
    <mergeCell ref="N58:O58"/>
    <mergeCell ref="G59:H59"/>
    <mergeCell ref="I59:J59"/>
    <mergeCell ref="K59:M59"/>
    <mergeCell ref="N59:O59"/>
    <mergeCell ref="G60:H60"/>
    <mergeCell ref="I60:J60"/>
    <mergeCell ref="K60:M60"/>
    <mergeCell ref="N60:O60"/>
    <mergeCell ref="G56:H56"/>
    <mergeCell ref="I56:J56"/>
    <mergeCell ref="K56:M56"/>
    <mergeCell ref="N56:O56"/>
    <mergeCell ref="G57:H57"/>
    <mergeCell ref="I57:J57"/>
    <mergeCell ref="K57:M57"/>
    <mergeCell ref="N57:O57"/>
    <mergeCell ref="G61:H61"/>
    <mergeCell ref="I61:J61"/>
    <mergeCell ref="K61:M61"/>
    <mergeCell ref="N61:O61"/>
    <mergeCell ref="B2:T2"/>
    <mergeCell ref="B3:T3"/>
    <mergeCell ref="R58:T58"/>
    <mergeCell ref="C60:D60"/>
    <mergeCell ref="C61:D61"/>
    <mergeCell ref="E9:J9"/>
    <mergeCell ref="F18:J18"/>
    <mergeCell ref="F19:J19"/>
    <mergeCell ref="F20:J20"/>
    <mergeCell ref="F21:J21"/>
    <mergeCell ref="F22:J22"/>
    <mergeCell ref="F25:J25"/>
    <mergeCell ref="P57:Q57"/>
    <mergeCell ref="P58:Q58"/>
    <mergeCell ref="P59:Q59"/>
    <mergeCell ref="P60:Q60"/>
    <mergeCell ref="B4:T4"/>
    <mergeCell ref="B8:T8"/>
    <mergeCell ref="P45:Q45"/>
    <mergeCell ref="K37:K43"/>
    <mergeCell ref="R56:T56"/>
    <mergeCell ref="R57:T57"/>
    <mergeCell ref="R59:T59"/>
    <mergeCell ref="R54:T54"/>
    <mergeCell ref="D135:E135"/>
    <mergeCell ref="D126:E126"/>
    <mergeCell ref="C55:D55"/>
    <mergeCell ref="C56:D56"/>
    <mergeCell ref="C57:D57"/>
    <mergeCell ref="C58:D58"/>
    <mergeCell ref="P62:Q62"/>
    <mergeCell ref="C62:D62"/>
    <mergeCell ref="B63:T63"/>
    <mergeCell ref="E55:F55"/>
    <mergeCell ref="R61:T61"/>
    <mergeCell ref="R55:T55"/>
    <mergeCell ref="E58:F58"/>
    <mergeCell ref="S93:T93"/>
    <mergeCell ref="B93:D93"/>
    <mergeCell ref="E93:F93"/>
    <mergeCell ref="P61:Q61"/>
    <mergeCell ref="E57:F57"/>
    <mergeCell ref="E56:F56"/>
    <mergeCell ref="R62:T62"/>
    <mergeCell ref="G55:H55"/>
    <mergeCell ref="I55:J55"/>
    <mergeCell ref="K55:M55"/>
    <mergeCell ref="N55:O55"/>
    <mergeCell ref="N54:O54"/>
    <mergeCell ref="P51:Q53"/>
    <mergeCell ref="R51:T53"/>
    <mergeCell ref="B51:B53"/>
    <mergeCell ref="C51:D53"/>
    <mergeCell ref="E51:F53"/>
    <mergeCell ref="C54:D54"/>
    <mergeCell ref="E54:F54"/>
    <mergeCell ref="G51:M51"/>
    <mergeCell ref="N51:O53"/>
    <mergeCell ref="G52:J52"/>
    <mergeCell ref="K52:M53"/>
    <mergeCell ref="G53:H53"/>
    <mergeCell ref="I53:J53"/>
    <mergeCell ref="B50:T50"/>
    <mergeCell ref="P54:Q54"/>
    <mergeCell ref="P55:Q55"/>
    <mergeCell ref="P56:Q56"/>
    <mergeCell ref="D114:J114"/>
    <mergeCell ref="S41:T41"/>
    <mergeCell ref="B46:T46"/>
    <mergeCell ref="B48:T48"/>
    <mergeCell ref="B49:J49"/>
    <mergeCell ref="K49:M49"/>
    <mergeCell ref="O49:Q49"/>
    <mergeCell ref="S42:T42"/>
    <mergeCell ref="H45:I45"/>
    <mergeCell ref="L43:Q43"/>
    <mergeCell ref="B44:T44"/>
    <mergeCell ref="E59:F59"/>
    <mergeCell ref="E60:F60"/>
    <mergeCell ref="E61:F61"/>
    <mergeCell ref="E62:F62"/>
    <mergeCell ref="C59:D59"/>
    <mergeCell ref="R60:T60"/>
    <mergeCell ref="G54:H54"/>
    <mergeCell ref="I54:J54"/>
    <mergeCell ref="K54:M54"/>
    <mergeCell ref="E5:J5"/>
    <mergeCell ref="E6:J6"/>
    <mergeCell ref="L38:Q38"/>
    <mergeCell ref="B37:J37"/>
    <mergeCell ref="O18:S18"/>
    <mergeCell ref="O19:S19"/>
    <mergeCell ref="O20:S20"/>
    <mergeCell ref="O21:S21"/>
    <mergeCell ref="O22:S22"/>
    <mergeCell ref="O25:S25"/>
    <mergeCell ref="H36:I36"/>
    <mergeCell ref="H35:I35"/>
    <mergeCell ref="H34:I34"/>
    <mergeCell ref="H32:I32"/>
    <mergeCell ref="H31:I31"/>
    <mergeCell ref="H29:I29"/>
    <mergeCell ref="H28:I28"/>
    <mergeCell ref="B26:T26"/>
    <mergeCell ref="E7:J7"/>
    <mergeCell ref="E11:J11"/>
    <mergeCell ref="E10:J10"/>
    <mergeCell ref="B18:E18"/>
    <mergeCell ref="B20:E20"/>
    <mergeCell ref="B7:D7"/>
    <mergeCell ref="B6:D6"/>
    <mergeCell ref="B5:D5"/>
    <mergeCell ref="L5:M5"/>
    <mergeCell ref="L6:M6"/>
    <mergeCell ref="L7:M7"/>
    <mergeCell ref="L37:T37"/>
    <mergeCell ref="L39:Q39"/>
    <mergeCell ref="L40:Q40"/>
    <mergeCell ref="N11:S11"/>
    <mergeCell ref="N10:S10"/>
    <mergeCell ref="N7:S7"/>
    <mergeCell ref="N6:S6"/>
    <mergeCell ref="N5:S5"/>
    <mergeCell ref="G13:S13"/>
    <mergeCell ref="G14:S14"/>
    <mergeCell ref="G15:S15"/>
    <mergeCell ref="G16:S16"/>
    <mergeCell ref="L10:M10"/>
    <mergeCell ref="L11:M11"/>
    <mergeCell ref="B9:D9"/>
    <mergeCell ref="B10:D10"/>
    <mergeCell ref="B11:D11"/>
    <mergeCell ref="B17:T17"/>
    <mergeCell ref="L20:N20"/>
    <mergeCell ref="L19:N19"/>
    <mergeCell ref="L18:N18"/>
    <mergeCell ref="F24:J24"/>
    <mergeCell ref="B24:E24"/>
    <mergeCell ref="L24:N24"/>
    <mergeCell ref="O24:S24"/>
    <mergeCell ref="B27:T27"/>
    <mergeCell ref="B30:T30"/>
    <mergeCell ref="B21:E21"/>
    <mergeCell ref="B22:E22"/>
    <mergeCell ref="B25:E25"/>
    <mergeCell ref="F23:J23"/>
    <mergeCell ref="O23:S23"/>
    <mergeCell ref="L23:N23"/>
    <mergeCell ref="B23:E23"/>
    <mergeCell ref="L25:N25"/>
    <mergeCell ref="L22:N22"/>
    <mergeCell ref="L21:N21"/>
    <mergeCell ref="B38:G38"/>
    <mergeCell ref="B39:G40"/>
    <mergeCell ref="B41:G41"/>
    <mergeCell ref="B42:G42"/>
    <mergeCell ref="B33:T33"/>
    <mergeCell ref="B28:G28"/>
    <mergeCell ref="B29:G29"/>
    <mergeCell ref="B31:G31"/>
    <mergeCell ref="B32:G32"/>
    <mergeCell ref="B34:G34"/>
    <mergeCell ref="B35:G35"/>
    <mergeCell ref="B36:G36"/>
    <mergeCell ref="S40:T40"/>
    <mergeCell ref="S39:T39"/>
    <mergeCell ref="H39:H40"/>
    <mergeCell ref="I39:I40"/>
    <mergeCell ref="L42:Q42"/>
    <mergeCell ref="L41:Q41"/>
  </mergeCells>
  <conditionalFormatting sqref="B15:B16">
    <cfRule type="duplicateValues" dxfId="83" priority="45"/>
  </conditionalFormatting>
  <conditionalFormatting sqref="C54:C62">
    <cfRule type="expression" dxfId="82" priority="25">
      <formula>AND($O$21="151H",OR(C54&lt;0.995,C54&gt;1.038))</formula>
    </cfRule>
    <cfRule type="expression" dxfId="81" priority="24">
      <formula>AND($O$21="152H",OR(C54&lt;-5,C54&gt;60))</formula>
    </cfRule>
  </conditionalFormatting>
  <conditionalFormatting sqref="C64:C67">
    <cfRule type="expression" dxfId="80" priority="266">
      <formula>AND($O$21="151H",OR(C64&lt;0.995,C64&gt;1.038))</formula>
    </cfRule>
    <cfRule type="expression" dxfId="79" priority="265">
      <formula>AND($O$21="152H",OR(C64&lt;-5,C64&gt;60))</formula>
    </cfRule>
  </conditionalFormatting>
  <conditionalFormatting sqref="E54:E62">
    <cfRule type="expression" dxfId="78" priority="15">
      <formula>NOT(ROUND(E54-$F$19*(INT(E54/$F$19)),8)=0)</formula>
    </cfRule>
    <cfRule type="expression" dxfId="77" priority="16">
      <formula>OR(E54&lt;15,AND(E54&gt;30.9,E54&lt;59),E54&gt;87.62)</formula>
    </cfRule>
  </conditionalFormatting>
  <conditionalFormatting sqref="E64:E67">
    <cfRule type="expression" dxfId="76" priority="89">
      <formula>OR(E$62&lt;15,AND(E$62&gt;30.9,E$62&lt;59),E$62&gt;87.62)</formula>
    </cfRule>
  </conditionalFormatting>
  <conditionalFormatting sqref="E54:F62">
    <cfRule type="expression" dxfId="75" priority="18" stopIfTrue="1">
      <formula>$F$19&gt;0.05</formula>
    </cfRule>
    <cfRule type="expression" dxfId="74" priority="21">
      <formula>$F$19&gt;0.005</formula>
    </cfRule>
    <cfRule type="expression" dxfId="73" priority="17" stopIfTrue="1">
      <formula>$F$19&gt;0.5</formula>
    </cfRule>
  </conditionalFormatting>
  <conditionalFormatting sqref="G54:G62">
    <cfRule type="expression" dxfId="72" priority="26">
      <formula>$O$49=2</formula>
    </cfRule>
    <cfRule type="expression" dxfId="71" priority="27">
      <formula>$O$21="151H"</formula>
    </cfRule>
  </conditionalFormatting>
  <conditionalFormatting sqref="G54:H62">
    <cfRule type="expression" dxfId="70" priority="2">
      <formula>AND($O$21="152H",OR(G54&lt;-5,G54&gt;60))</formula>
    </cfRule>
    <cfRule type="expression" dxfId="69" priority="1">
      <formula>AND($O$21="151H",OR(G54&lt;0.995,G54&gt;1.038))</formula>
    </cfRule>
  </conditionalFormatting>
  <conditionalFormatting sqref="H39">
    <cfRule type="expression" dxfId="65" priority="126">
      <formula>$H$39&lt;5</formula>
    </cfRule>
  </conditionalFormatting>
  <conditionalFormatting sqref="I54:I62">
    <cfRule type="expression" dxfId="64" priority="5">
      <formula>NOT(ROUND(I54-$F$19*(INT(I54/$F$19)),8)=0)</formula>
    </cfRule>
    <cfRule type="expression" dxfId="63" priority="6">
      <formula>OR(I54&lt;15,AND(I54&gt;30.9,I54&lt;59),I54&gt;87.62)</formula>
    </cfRule>
  </conditionalFormatting>
  <conditionalFormatting sqref="I54:J62">
    <cfRule type="expression" dxfId="62" priority="3">
      <formula>$O$49=2</formula>
    </cfRule>
    <cfRule type="expression" dxfId="61" priority="7" stopIfTrue="1">
      <formula>$F$19&gt;0.5</formula>
    </cfRule>
    <cfRule type="expression" dxfId="60" priority="8" stopIfTrue="1">
      <formula>$F$19&gt;0.05</formula>
    </cfRule>
    <cfRule type="expression" dxfId="59" priority="9">
      <formula>$F$19&gt;0.005</formula>
    </cfRule>
  </conditionalFormatting>
  <conditionalFormatting sqref="K54:K62 C54:C62">
    <cfRule type="expression" dxfId="58" priority="23">
      <formula>$O$21="151H"</formula>
    </cfRule>
  </conditionalFormatting>
  <conditionalFormatting sqref="K54:K62 N54:N62">
    <cfRule type="expression" dxfId="57" priority="29">
      <formula>NOT(ISNUMBER($K54))</formula>
    </cfRule>
  </conditionalFormatting>
  <conditionalFormatting sqref="K54:K62">
    <cfRule type="expression" dxfId="56" priority="20">
      <formula>$O$49=1</formula>
    </cfRule>
  </conditionalFormatting>
  <conditionalFormatting sqref="M64:M67 P64:P67">
    <cfRule type="expression" dxfId="55" priority="236">
      <formula>NOT(ISNUMBER($M64))</formula>
    </cfRule>
  </conditionalFormatting>
  <conditionalFormatting sqref="M64:M67">
    <cfRule type="expression" dxfId="54" priority="235">
      <formula>NOT(ISNUMBER($J64))</formula>
    </cfRule>
  </conditionalFormatting>
  <conditionalFormatting sqref="N54:N62 P54:P62">
    <cfRule type="expression" dxfId="53" priority="28">
      <formula>NOT(ISNUMBER($N54))</formula>
    </cfRule>
  </conditionalFormatting>
  <conditionalFormatting sqref="P54:P62">
    <cfRule type="expression" dxfId="52" priority="22">
      <formula>NOT(ISNUMBER($P54))</formula>
    </cfRule>
  </conditionalFormatting>
  <conditionalFormatting sqref="P64:P67">
    <cfRule type="expression" dxfId="51" priority="237">
      <formula>NOT(ISNUMBER($P64))</formula>
    </cfRule>
  </conditionalFormatting>
  <conditionalFormatting sqref="R40">
    <cfRule type="expression" dxfId="50" priority="129">
      <formula>AND(T38=1,R39&lt;&gt;R40)</formula>
    </cfRule>
  </conditionalFormatting>
  <conditionalFormatting sqref="R41">
    <cfRule type="expression" dxfId="49" priority="132" stopIfTrue="1">
      <formula>T38&lt;&gt;1</formula>
    </cfRule>
    <cfRule type="expression" dxfId="48" priority="134">
      <formula>OR((R41-R40)&lt;40,(R41-R40)&gt;60)</formula>
    </cfRule>
  </conditionalFormatting>
  <conditionalFormatting sqref="R47">
    <cfRule type="expression" dxfId="47" priority="128">
      <formula>OR(R47&lt;4.9,R47&gt;5.1)</formula>
    </cfRule>
  </conditionalFormatting>
  <conditionalFormatting sqref="R54:T62">
    <cfRule type="expression" dxfId="46" priority="19">
      <formula>NOT(ISNUMBER($R54))</formula>
    </cfRule>
  </conditionalFormatting>
  <conditionalFormatting sqref="R64:T67">
    <cfRule type="expression" dxfId="45" priority="46">
      <formula>NOT(ISNUMBER($R64))</formula>
    </cfRule>
  </conditionalFormatting>
  <dataValidations disablePrompts="1" count="2">
    <dataValidation type="list" allowBlank="1" showInputMessage="1" showErrorMessage="1" sqref="P45" xr:uid="{00E84866-E3D5-44F6-B98A-E3B55A7B101F}">
      <formula1>"Assumed,Measured"</formula1>
    </dataValidation>
    <dataValidation type="list" allowBlank="1" showInputMessage="1" showErrorMessage="1" sqref="H34" xr:uid="{7EF0F8B6-FB5E-4912-A9FD-BF4541C3A4AC}">
      <formula1>"Moist,Air-Dried"</formula1>
    </dataValidation>
  </dataValidations>
  <pageMargins left="0.7" right="0.7" top="0.75" bottom="0.75" header="0.3" footer="0.3"/>
  <pageSetup scale="4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49" r:id="rId4" name="Group Box 25">
              <controlPr defaultSize="0" autoFill="0" autoPict="0">
                <anchor moveWithCells="1">
                  <from>
                    <xdr:col>11</xdr:col>
                    <xdr:colOff>0</xdr:colOff>
                    <xdr:row>36</xdr:row>
                    <xdr:rowOff>0</xdr:rowOff>
                  </from>
                  <to>
                    <xdr:col>20</xdr:col>
                    <xdr:colOff>0</xdr:colOff>
                    <xdr:row>43</xdr:row>
                    <xdr:rowOff>9525</xdr:rowOff>
                  </to>
                </anchor>
              </controlPr>
            </control>
          </mc:Choice>
        </mc:AlternateContent>
        <mc:AlternateContent xmlns:mc="http://schemas.openxmlformats.org/markup-compatibility/2006">
          <mc:Choice Requires="x14">
            <control shapeId="1058" r:id="rId5" name="Option Button 34">
              <controlPr defaultSize="0" autoFill="0" autoLine="0" autoPict="0">
                <anchor moveWithCells="1">
                  <from>
                    <xdr:col>17</xdr:col>
                    <xdr:colOff>9525</xdr:colOff>
                    <xdr:row>37</xdr:row>
                    <xdr:rowOff>0</xdr:rowOff>
                  </from>
                  <to>
                    <xdr:col>17</xdr:col>
                    <xdr:colOff>600075</xdr:colOff>
                    <xdr:row>38</xdr:row>
                    <xdr:rowOff>0</xdr:rowOff>
                  </to>
                </anchor>
              </controlPr>
            </control>
          </mc:Choice>
        </mc:AlternateContent>
        <mc:AlternateContent xmlns:mc="http://schemas.openxmlformats.org/markup-compatibility/2006">
          <mc:Choice Requires="x14">
            <control shapeId="1059" r:id="rId6" name="Option Button 35">
              <controlPr defaultSize="0" autoFill="0" autoLine="0" autoPict="0">
                <anchor moveWithCells="1">
                  <from>
                    <xdr:col>18</xdr:col>
                    <xdr:colOff>9525</xdr:colOff>
                    <xdr:row>36</xdr:row>
                    <xdr:rowOff>190500</xdr:rowOff>
                  </from>
                  <to>
                    <xdr:col>18</xdr:col>
                    <xdr:colOff>600075</xdr:colOff>
                    <xdr:row>38</xdr:row>
                    <xdr:rowOff>9525</xdr:rowOff>
                  </to>
                </anchor>
              </controlPr>
            </control>
          </mc:Choice>
        </mc:AlternateContent>
        <mc:AlternateContent xmlns:mc="http://schemas.openxmlformats.org/markup-compatibility/2006">
          <mc:Choice Requires="x14">
            <control shapeId="1060" r:id="rId7" name="Group Box 36">
              <controlPr defaultSize="0" autoFill="0" autoPict="0">
                <anchor moveWithCells="1">
                  <from>
                    <xdr:col>1</xdr:col>
                    <xdr:colOff>0</xdr:colOff>
                    <xdr:row>47</xdr:row>
                    <xdr:rowOff>0</xdr:rowOff>
                  </from>
                  <to>
                    <xdr:col>20</xdr:col>
                    <xdr:colOff>0</xdr:colOff>
                    <xdr:row>49</xdr:row>
                    <xdr:rowOff>9525</xdr:rowOff>
                  </to>
                </anchor>
              </controlPr>
            </control>
          </mc:Choice>
        </mc:AlternateContent>
        <mc:AlternateContent xmlns:mc="http://schemas.openxmlformats.org/markup-compatibility/2006">
          <mc:Choice Requires="x14">
            <control shapeId="1061" r:id="rId8" name="Option Button 37">
              <controlPr defaultSize="0" autoFill="0" autoLine="0" autoPict="0">
                <anchor moveWithCells="1">
                  <from>
                    <xdr:col>10</xdr:col>
                    <xdr:colOff>0</xdr:colOff>
                    <xdr:row>47</xdr:row>
                    <xdr:rowOff>190500</xdr:rowOff>
                  </from>
                  <to>
                    <xdr:col>13</xdr:col>
                    <xdr:colOff>9525</xdr:colOff>
                    <xdr:row>49</xdr:row>
                    <xdr:rowOff>0</xdr:rowOff>
                  </to>
                </anchor>
              </controlPr>
            </control>
          </mc:Choice>
        </mc:AlternateContent>
        <mc:AlternateContent xmlns:mc="http://schemas.openxmlformats.org/markup-compatibility/2006">
          <mc:Choice Requires="x14">
            <control shapeId="1062" r:id="rId9" name="Option Button 38">
              <controlPr defaultSize="0" autoFill="0" autoLine="0" autoPict="0">
                <anchor moveWithCells="1">
                  <from>
                    <xdr:col>14</xdr:col>
                    <xdr:colOff>0</xdr:colOff>
                    <xdr:row>47</xdr:row>
                    <xdr:rowOff>190500</xdr:rowOff>
                  </from>
                  <to>
                    <xdr:col>17</xdr:col>
                    <xdr:colOff>9525</xdr:colOff>
                    <xdr:row>49</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17" id="{E89A0229-A7EC-4DF1-BAC7-F8909B8EC8F3}">
            <xm:f>H29&lt;INDEX('Table 1'!$D$5:$D$10,MATCH(H28,'Table 1'!$B$5:$B$10,0),1)</xm:f>
            <x14:dxf>
              <font>
                <b/>
                <i val="0"/>
                <color rgb="FFC00000"/>
              </font>
            </x14:dxf>
          </x14:cfRule>
          <xm:sqref>H29</xm:sqref>
        </x14:conditionalFormatting>
        <x14:conditionalFormatting xmlns:xm="http://schemas.microsoft.com/office/excel/2006/main">
          <x14:cfRule type="expression" priority="121" id="{B0916A61-3924-4B2D-8CA3-572FA6DB7A0E}">
            <xm:f>H32&lt;INDEX('Table 1'!$D$5:$D$10,MATCH(H31,'Table 1'!$B$5:$B$10,0),1)</xm:f>
            <x14:dxf>
              <font>
                <b/>
                <i val="0"/>
                <color rgb="FFC00000"/>
              </font>
            </x14:dxf>
          </x14:cfRule>
          <xm:sqref>H32</xm:sqref>
        </x14:conditionalFormatting>
        <x14:conditionalFormatting xmlns:xm="http://schemas.microsoft.com/office/excel/2006/main">
          <x14:cfRule type="expression" priority="120" id="{9118E3AF-34EE-443B-B403-5978E719687A}">
            <xm:f>H36&lt;INDEX('Table 1'!$D$5:$D$10,MATCH("No. 10",'Table 1'!$B$5:$B$10,0),1)</xm:f>
            <x14:dxf>
              <font>
                <b/>
                <i val="0"/>
                <color rgb="FFC00000"/>
              </font>
            </x14:dxf>
          </x14:cfRule>
          <xm:sqref>H36</xm:sqref>
        </x14:conditionalFormatting>
      </x14:conditionalFormattings>
    </ext>
    <ext xmlns:x14="http://schemas.microsoft.com/office/spreadsheetml/2009/9/main" uri="{CCE6A557-97BC-4b89-ADB6-D9C93CAAB3DF}">
      <x14:dataValidations xmlns:xm="http://schemas.microsoft.com/office/excel/2006/main" disablePrompts="1" count="4">
        <x14:dataValidation type="list" allowBlank="1" showInputMessage="1" showErrorMessage="1" xr:uid="{30BE722F-579F-41F2-9846-B78EC1095FD6}">
          <x14:formula1>
            <xm:f>'Table 1'!$B$5:$B$10</xm:f>
          </x14:formula1>
          <xm:sqref>H28</xm:sqref>
        </x14:dataValidation>
        <x14:dataValidation type="list" allowBlank="1" showInputMessage="1" showErrorMessage="1" xr:uid="{2828CE99-8262-4F61-812A-6E07DC0FAEBC}">
          <x14:formula1>
            <xm:f>'Table 1'!$B$9:$B$10</xm:f>
          </x14:formula1>
          <xm:sqref>H31</xm:sqref>
        </x14:dataValidation>
        <x14:dataValidation type="list" allowBlank="1" showInputMessage="1" showErrorMessage="1" xr:uid="{83B458BE-4BF3-4648-945E-B7F80C4E39CE}">
          <x14:formula1>
            <xm:f>Hydrometer!$D$3:$F$3</xm:f>
          </x14:formula1>
          <xm:sqref>O20</xm:sqref>
        </x14:dataValidation>
        <x14:dataValidation type="list" allowBlank="1" showInputMessage="1" showErrorMessage="1" xr:uid="{3003069C-FF14-47BE-B791-CFCA080C6A3B}">
          <x14:formula1>
            <xm:f>Cylinder!F3:G3</xm:f>
          </x14:formula1>
          <xm:sqref>O18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O202"/>
  <sheetViews>
    <sheetView topLeftCell="B1" zoomScaleNormal="100" workbookViewId="0">
      <selection activeCell="F35" sqref="F35"/>
    </sheetView>
  </sheetViews>
  <sheetFormatPr defaultColWidth="9.140625" defaultRowHeight="15" x14ac:dyDescent="0.25"/>
  <cols>
    <col min="1" max="1" width="9.140625" style="2"/>
    <col min="2" max="2" width="41.42578125" style="2" bestFit="1" customWidth="1"/>
    <col min="3" max="4" width="10.85546875" style="2" bestFit="1" customWidth="1"/>
    <col min="5" max="5" width="32" style="2" bestFit="1" customWidth="1"/>
    <col min="6" max="6" width="22" style="2" bestFit="1" customWidth="1"/>
    <col min="7" max="7" width="21.42578125" style="2" bestFit="1" customWidth="1"/>
    <col min="8" max="9" width="11.42578125" style="2" bestFit="1" customWidth="1"/>
    <col min="10" max="10" width="9.140625" style="2"/>
    <col min="11" max="11" width="12.140625" style="2" customWidth="1"/>
    <col min="12" max="12" width="12" style="2" customWidth="1"/>
    <col min="13" max="14" width="9.140625" style="2" customWidth="1"/>
    <col min="15" max="15" width="26.7109375" style="2" customWidth="1"/>
    <col min="16" max="16" width="25.85546875" style="2" customWidth="1"/>
    <col min="17" max="16384" width="9.140625" style="2"/>
  </cols>
  <sheetData>
    <row r="1" spans="2:9" ht="15.75" thickBot="1" x14ac:dyDescent="0.3"/>
    <row r="2" spans="2:9" ht="15.75" thickTop="1" x14ac:dyDescent="0.25">
      <c r="B2" s="314" t="s">
        <v>208</v>
      </c>
      <c r="C2" s="315"/>
      <c r="D2" s="315"/>
      <c r="E2" s="315"/>
      <c r="F2" s="315"/>
      <c r="G2" s="316"/>
    </row>
    <row r="3" spans="2:9" ht="15.75" x14ac:dyDescent="0.25">
      <c r="B3" s="205" t="s">
        <v>136</v>
      </c>
      <c r="C3" s="206"/>
      <c r="D3" s="206"/>
      <c r="E3" s="206"/>
      <c r="F3" s="150" t="s">
        <v>137</v>
      </c>
      <c r="G3" s="151" t="s">
        <v>138</v>
      </c>
      <c r="I3" s="26"/>
    </row>
    <row r="4" spans="2:9" ht="15.75" x14ac:dyDescent="0.25">
      <c r="B4" s="326" t="s">
        <v>91</v>
      </c>
      <c r="C4" s="327"/>
      <c r="D4" s="327"/>
      <c r="E4" s="327"/>
      <c r="F4" s="123"/>
      <c r="G4" s="124"/>
      <c r="I4" s="26"/>
    </row>
    <row r="5" spans="2:9" ht="15.75" x14ac:dyDescent="0.25">
      <c r="B5" s="205" t="s">
        <v>201</v>
      </c>
      <c r="C5" s="206"/>
      <c r="D5" s="206"/>
      <c r="E5" s="206"/>
      <c r="F5" s="129"/>
      <c r="G5" s="130"/>
      <c r="I5" s="26"/>
    </row>
    <row r="6" spans="2:9" ht="15.75" x14ac:dyDescent="0.25">
      <c r="B6" s="205" t="s">
        <v>202</v>
      </c>
      <c r="C6" s="206"/>
      <c r="D6" s="206"/>
      <c r="E6" s="206"/>
      <c r="F6" s="104" t="s">
        <v>224</v>
      </c>
      <c r="G6" s="105" t="s">
        <v>224</v>
      </c>
      <c r="I6" s="26"/>
    </row>
    <row r="7" spans="2:9" ht="15.75" x14ac:dyDescent="0.25">
      <c r="B7" s="205" t="s">
        <v>205</v>
      </c>
      <c r="C7" s="206"/>
      <c r="D7" s="206"/>
      <c r="E7" s="206"/>
      <c r="F7" s="125"/>
      <c r="G7" s="126"/>
      <c r="I7" s="26"/>
    </row>
    <row r="8" spans="2:9" ht="15.75" x14ac:dyDescent="0.25">
      <c r="B8" s="205" t="s">
        <v>204</v>
      </c>
      <c r="C8" s="206"/>
      <c r="D8" s="206"/>
      <c r="E8" s="206"/>
      <c r="F8" s="125"/>
      <c r="G8" s="126"/>
      <c r="I8" s="26"/>
    </row>
    <row r="9" spans="2:9" ht="16.5" thickBot="1" x14ac:dyDescent="0.3">
      <c r="B9" s="212" t="s">
        <v>203</v>
      </c>
      <c r="C9" s="213"/>
      <c r="D9" s="213"/>
      <c r="E9" s="213"/>
      <c r="F9" s="127"/>
      <c r="G9" s="128"/>
      <c r="I9" s="26"/>
    </row>
    <row r="10" spans="2:9" x14ac:dyDescent="0.25">
      <c r="B10" s="324" t="s">
        <v>209</v>
      </c>
      <c r="C10" s="328" t="s">
        <v>135</v>
      </c>
      <c r="D10" s="221"/>
      <c r="E10" s="329"/>
      <c r="F10" s="80"/>
      <c r="G10" s="81"/>
    </row>
    <row r="11" spans="2:9" ht="15.75" thickBot="1" x14ac:dyDescent="0.3">
      <c r="B11" s="325"/>
      <c r="C11" s="82" t="s">
        <v>158</v>
      </c>
      <c r="D11" s="83" t="s">
        <v>157</v>
      </c>
      <c r="E11" s="84" t="s">
        <v>159</v>
      </c>
      <c r="F11" s="177" t="s">
        <v>60</v>
      </c>
      <c r="G11" s="85" t="s">
        <v>60</v>
      </c>
    </row>
    <row r="12" spans="2:9" x14ac:dyDescent="0.25">
      <c r="B12" s="75" t="s">
        <v>210</v>
      </c>
      <c r="C12" s="1"/>
      <c r="D12" s="1"/>
      <c r="E12" s="100" t="s">
        <v>139</v>
      </c>
      <c r="F12" s="131">
        <v>431</v>
      </c>
      <c r="G12" s="132">
        <v>447</v>
      </c>
    </row>
    <row r="13" spans="2:9" x14ac:dyDescent="0.25">
      <c r="B13" s="76" t="s">
        <v>141</v>
      </c>
      <c r="C13" s="59" t="s">
        <v>158</v>
      </c>
      <c r="D13" s="59" t="s">
        <v>157</v>
      </c>
      <c r="E13" s="56" t="s">
        <v>159</v>
      </c>
      <c r="F13" s="56" t="s">
        <v>60</v>
      </c>
      <c r="G13" s="63" t="s">
        <v>60</v>
      </c>
    </row>
    <row r="14" spans="2:9" x14ac:dyDescent="0.25">
      <c r="B14" s="77" t="s">
        <v>150</v>
      </c>
      <c r="C14" s="179" t="s">
        <v>162</v>
      </c>
      <c r="D14" s="180" t="s">
        <v>163</v>
      </c>
      <c r="E14" s="86" t="s">
        <v>164</v>
      </c>
      <c r="F14" s="133">
        <v>25.3</v>
      </c>
      <c r="G14" s="134">
        <v>17</v>
      </c>
    </row>
    <row r="15" spans="2:9" x14ac:dyDescent="0.25">
      <c r="B15" s="137" t="s">
        <v>152</v>
      </c>
      <c r="C15" s="138"/>
      <c r="D15" s="138"/>
      <c r="E15" s="139" t="s">
        <v>151</v>
      </c>
      <c r="F15" s="135">
        <f ca="1">IF(ISNUMBER(F14),IF(AND(IF(F14&lt;40,F14,(F14-32)*5/9)&gt;=15,IF(F14&lt;40,F14,(F14-32)*5/9)&lt;=30.9),ROUND(FORECAST(IF(F14&lt;40,F14,(F14-32)*5/9),OFFSET('Water Density'!$C$5:$C$164,MATCH(IF(F14&lt;40,F14,(F14-32)*5/9),'Water Density'!$B$5:$B$164,1)-1,0,2),OFFSET('Water Density'!$B$5:$B$164,MATCH(IF(F14&lt;40,F14,(F14-32)*5/9),'Water Density'!$B$5:$B$164,1)-1,0,2)),5),"Temp Out of Range"),"Need Temperature")</f>
        <v>0.99697000000000002</v>
      </c>
      <c r="G15" s="136">
        <f ca="1">IF(ISNUMBER(G14),IF(AND(IF(G14&lt;40,G14,(G14-32)*5/9)&gt;=15,IF(G14&lt;40,G14,(G14-32)*5/9)&lt;=30.9),ROUND(FORECAST(IF(G14&lt;40,G14,(G14-32)*5/9),OFFSET('Water Density'!$C$5:$C$164,MATCH(IF(G14&lt;40,G14,(G14-32)*5/9),'Water Density'!$B$5:$B$164,1)-1,0,2),OFFSET('Water Density'!$B$5:$B$164,MATCH(IF(G14&lt;40,G14,(G14-32)*5/9),'Water Density'!$B$5:$B$164,1)-1,0,2)),5),"Temp Out of Range"),"Need Temperature")</f>
        <v>0.99878</v>
      </c>
    </row>
    <row r="16" spans="2:9" x14ac:dyDescent="0.25">
      <c r="B16" s="78" t="s">
        <v>145</v>
      </c>
      <c r="C16" s="176"/>
      <c r="D16" s="176"/>
      <c r="E16" s="89"/>
      <c r="F16" s="88"/>
      <c r="G16" s="90"/>
    </row>
    <row r="17" spans="2:14" x14ac:dyDescent="0.25">
      <c r="B17" s="181" t="s">
        <v>147</v>
      </c>
      <c r="C17" s="182"/>
      <c r="D17" s="182"/>
      <c r="E17" s="183" t="s">
        <v>7</v>
      </c>
      <c r="F17" s="144">
        <v>997.3</v>
      </c>
      <c r="G17" s="145"/>
    </row>
    <row r="18" spans="2:14" x14ac:dyDescent="0.25">
      <c r="B18" s="184" t="s">
        <v>153</v>
      </c>
      <c r="C18" s="1">
        <v>995</v>
      </c>
      <c r="D18" s="1">
        <v>1005</v>
      </c>
      <c r="E18" s="87" t="s">
        <v>82</v>
      </c>
      <c r="F18" s="91">
        <f ca="1">IF(ISNUMBER(F14),IF(F15&lt;&gt;"Temp Out of Range",IF(NOT(ISNUMBER(F17)),"Need Mass",ROUND(F17/F15,1)),"Temp Out of Range"),"Need Temperature")</f>
        <v>1000.3</v>
      </c>
      <c r="G18" s="92" t="str">
        <f ca="1">IF(ISNUMBER(G14),IF(G15&lt;&gt;"Temp Out of Range",IF(NOT(ISNUMBER(G17)),"Need Mass",ROUND(G17/G15,1)),"Temp Out of Range"),"Need Temperature")</f>
        <v>Need Mass</v>
      </c>
    </row>
    <row r="19" spans="2:14" x14ac:dyDescent="0.25">
      <c r="B19" s="184" t="s">
        <v>211</v>
      </c>
      <c r="C19" s="1"/>
      <c r="D19" s="1"/>
      <c r="E19" s="87" t="s">
        <v>160</v>
      </c>
      <c r="F19" s="87" t="str">
        <f ca="1">IF(ISNUMBER(F$18),IF(AND(F$18&gt;=995,F$18&lt;=1005),"Yes","No"),"")</f>
        <v>Yes</v>
      </c>
      <c r="G19" s="93" t="str">
        <f ca="1">IF(ISNUMBER(G$18),IF(AND(G$18&gt;=995,G$18&lt;=1005),"Yes","No"),"")</f>
        <v/>
      </c>
    </row>
    <row r="20" spans="2:14" x14ac:dyDescent="0.25">
      <c r="B20" s="185" t="s">
        <v>149</v>
      </c>
      <c r="C20" s="186"/>
      <c r="D20" s="186"/>
      <c r="E20" s="139" t="s">
        <v>161</v>
      </c>
      <c r="F20" s="139" t="str">
        <f ca="1">IF(NOT(F19=""),IF(F$19="No","Fill with Required Mass","None"),"")</f>
        <v>None</v>
      </c>
      <c r="G20" s="140" t="str">
        <f ca="1">IF(NOT(G19=""),IF(G$19="No","Fill with Required Mass","None"),"")</f>
        <v/>
      </c>
    </row>
    <row r="21" spans="2:14" x14ac:dyDescent="0.25">
      <c r="B21" s="78" t="s">
        <v>144</v>
      </c>
      <c r="C21" s="176"/>
      <c r="D21" s="176"/>
      <c r="E21" s="87"/>
      <c r="F21" s="89"/>
      <c r="G21" s="90"/>
    </row>
    <row r="22" spans="2:14" x14ac:dyDescent="0.25">
      <c r="B22" s="141" t="s">
        <v>146</v>
      </c>
      <c r="C22" s="74"/>
      <c r="D22" s="74"/>
      <c r="E22" s="86" t="s">
        <v>7</v>
      </c>
      <c r="F22" s="142">
        <f ca="1">IF(ISNUMBER(F14),IF(AND(IF(F14&lt;40,F14,(F14-32)*5/9)&gt;=15,IF(F14&lt;40,F14,(F14-32)*5/9)&lt;=30.9),ROUND(1000*F15,2),"Temp Out of Range"),"Need Temperature")</f>
        <v>996.97</v>
      </c>
      <c r="G22" s="143">
        <f ca="1">IF(ISNUMBER(G14),IF(AND(IF(G14&lt;40,G14,(G14-32)*5/9)&gt;=15,IF(G14&lt;40,G14,(G14-32)*5/9)&lt;=30.9),ROUND(1000*G15,2),"Temp Out of Range"),"Need Temperature")</f>
        <v>998.78</v>
      </c>
    </row>
    <row r="23" spans="2:14" x14ac:dyDescent="0.25">
      <c r="B23" s="184" t="s">
        <v>153</v>
      </c>
      <c r="C23" s="1">
        <v>995</v>
      </c>
      <c r="D23" s="1">
        <v>1005</v>
      </c>
      <c r="E23" s="87" t="s">
        <v>82</v>
      </c>
      <c r="F23" s="146">
        <v>1000</v>
      </c>
      <c r="G23" s="147">
        <v>1000</v>
      </c>
    </row>
    <row r="24" spans="2:14" x14ac:dyDescent="0.25">
      <c r="B24" s="184" t="s">
        <v>211</v>
      </c>
      <c r="C24" s="1"/>
      <c r="D24" s="1"/>
      <c r="E24" s="87" t="s">
        <v>160</v>
      </c>
      <c r="F24" s="87" t="str">
        <f>IF(ISNUMBER(F23),IF(AND(F$23&gt;=995,F$23&lt;=1005),"Yes","No"),"Need Volume")</f>
        <v>Yes</v>
      </c>
      <c r="G24" s="93" t="str">
        <f>IF(ISNUMBER(G23),IF(AND(G$23&gt;=995,G$23&lt;=1005),"Yes","No"),"Need Volume")</f>
        <v>Yes</v>
      </c>
    </row>
    <row r="25" spans="2:14" x14ac:dyDescent="0.25">
      <c r="B25" s="184" t="s">
        <v>148</v>
      </c>
      <c r="C25" s="1"/>
      <c r="D25" s="1"/>
      <c r="E25" s="87" t="s">
        <v>160</v>
      </c>
      <c r="F25" s="125" t="s">
        <v>181</v>
      </c>
      <c r="G25" s="126" t="s">
        <v>181</v>
      </c>
    </row>
    <row r="26" spans="2:14" ht="17.25" x14ac:dyDescent="0.25">
      <c r="B26" s="185" t="s">
        <v>8</v>
      </c>
      <c r="C26" s="1">
        <v>995</v>
      </c>
      <c r="D26" s="1">
        <v>1005</v>
      </c>
      <c r="E26" s="187" t="s">
        <v>182</v>
      </c>
      <c r="F26" s="94">
        <f>IF(F25="Yes",1000,IF(F$24="Yes",F$23,IF(OR(F$18="Need Mass",AND(F$18&gt;=995,F$18&lt;=1005)),F$18,"Fill with Required Mass")))</f>
        <v>1000</v>
      </c>
      <c r="G26" s="95">
        <f>IF(G25="Yes",1000,IF(G$24="Yes",G$23,IF(OR(G$18="Need Mass",AND(G$18&gt;=995,G$18&lt;=1005)),G$18,"Fill with Required Mass")))</f>
        <v>1000</v>
      </c>
    </row>
    <row r="27" spans="2:14" x14ac:dyDescent="0.25">
      <c r="B27" s="76" t="s">
        <v>142</v>
      </c>
      <c r="C27" s="59" t="s">
        <v>158</v>
      </c>
      <c r="D27" s="59" t="s">
        <v>157</v>
      </c>
      <c r="E27" s="56" t="s">
        <v>159</v>
      </c>
      <c r="F27" s="56" t="s">
        <v>60</v>
      </c>
      <c r="G27" s="63" t="s">
        <v>60</v>
      </c>
      <c r="N27" s="3"/>
    </row>
    <row r="28" spans="2:14" x14ac:dyDescent="0.25">
      <c r="B28" s="184" t="s">
        <v>156</v>
      </c>
      <c r="C28" s="1"/>
      <c r="D28" s="1"/>
      <c r="E28" s="87" t="s">
        <v>46</v>
      </c>
      <c r="F28" s="148">
        <v>345.4</v>
      </c>
      <c r="G28" s="149">
        <v>360</v>
      </c>
      <c r="N28" s="3"/>
    </row>
    <row r="29" spans="2:14" x14ac:dyDescent="0.25">
      <c r="B29" s="184" t="s">
        <v>156</v>
      </c>
      <c r="C29" s="1"/>
      <c r="D29" s="1"/>
      <c r="E29" s="87" t="s">
        <v>46</v>
      </c>
      <c r="F29" s="148">
        <v>345.2</v>
      </c>
      <c r="G29" s="149">
        <v>360</v>
      </c>
      <c r="N29" s="3"/>
    </row>
    <row r="30" spans="2:14" x14ac:dyDescent="0.25">
      <c r="B30" s="184" t="s">
        <v>156</v>
      </c>
      <c r="C30" s="1"/>
      <c r="D30" s="1"/>
      <c r="E30" s="188" t="s">
        <v>46</v>
      </c>
      <c r="F30" s="148">
        <v>345.7</v>
      </c>
      <c r="G30" s="149">
        <v>360</v>
      </c>
      <c r="N30" s="3"/>
    </row>
    <row r="31" spans="2:14" x14ac:dyDescent="0.25">
      <c r="B31" s="184" t="s">
        <v>155</v>
      </c>
      <c r="C31" s="1"/>
      <c r="D31" s="1"/>
      <c r="E31" s="188" t="s">
        <v>46</v>
      </c>
      <c r="F31" s="96">
        <f>ROUND(AVERAGE(F28:F30),0)</f>
        <v>345</v>
      </c>
      <c r="G31" s="97">
        <f>ROUND(AVERAGE(G28:G30),0)</f>
        <v>360</v>
      </c>
      <c r="N31" s="3"/>
    </row>
    <row r="32" spans="2:14" ht="15.2" customHeight="1" x14ac:dyDescent="0.25">
      <c r="B32" s="77" t="s">
        <v>3</v>
      </c>
      <c r="C32" s="180"/>
      <c r="D32" s="180"/>
      <c r="E32" s="188" t="s">
        <v>143</v>
      </c>
      <c r="F32" s="89">
        <f>ROUND(1000*10/F31,1)</f>
        <v>29</v>
      </c>
      <c r="G32" s="90">
        <f>ROUND(1000*10/G31,1)</f>
        <v>27.8</v>
      </c>
    </row>
    <row r="33" spans="2:15" x14ac:dyDescent="0.25">
      <c r="B33" s="77" t="s">
        <v>154</v>
      </c>
      <c r="C33" s="180">
        <v>55</v>
      </c>
      <c r="D33" s="180">
        <v>64</v>
      </c>
      <c r="E33" s="188" t="s">
        <v>46</v>
      </c>
      <c r="F33" s="89">
        <f>ROUND(SQRT(F32/PI())*20,0)</f>
        <v>61</v>
      </c>
      <c r="G33" s="90">
        <f>ROUND(SQRT(G32/PI())*20,0)</f>
        <v>59</v>
      </c>
      <c r="N33" s="28"/>
    </row>
    <row r="34" spans="2:15" x14ac:dyDescent="0.25">
      <c r="B34" s="79" t="s">
        <v>165</v>
      </c>
      <c r="C34" s="59" t="s">
        <v>158</v>
      </c>
      <c r="D34" s="59" t="s">
        <v>157</v>
      </c>
      <c r="E34" s="56" t="s">
        <v>159</v>
      </c>
      <c r="F34" s="56" t="s">
        <v>60</v>
      </c>
      <c r="G34" s="63" t="s">
        <v>60</v>
      </c>
      <c r="N34" s="28"/>
    </row>
    <row r="35" spans="2:15" x14ac:dyDescent="0.25">
      <c r="B35" s="77" t="s">
        <v>147</v>
      </c>
      <c r="C35" s="180">
        <v>149</v>
      </c>
      <c r="D35" s="180">
        <v>151</v>
      </c>
      <c r="E35" s="188" t="s">
        <v>7</v>
      </c>
      <c r="F35" s="189">
        <v>148</v>
      </c>
      <c r="G35" s="190">
        <v>148</v>
      </c>
      <c r="L35"/>
      <c r="M35"/>
      <c r="N35"/>
      <c r="O35"/>
    </row>
    <row r="36" spans="2:15" x14ac:dyDescent="0.25">
      <c r="B36" s="77" t="s">
        <v>167</v>
      </c>
      <c r="C36" s="179" t="s">
        <v>162</v>
      </c>
      <c r="D36" s="180" t="s">
        <v>163</v>
      </c>
      <c r="E36" s="87" t="s">
        <v>164</v>
      </c>
      <c r="F36" s="191">
        <v>25</v>
      </c>
      <c r="G36" s="192">
        <v>60</v>
      </c>
      <c r="M36"/>
      <c r="N36"/>
      <c r="O36"/>
    </row>
    <row r="37" spans="2:15" x14ac:dyDescent="0.25">
      <c r="B37" s="77" t="s">
        <v>152</v>
      </c>
      <c r="C37" s="180"/>
      <c r="D37" s="180"/>
      <c r="E37" s="87" t="s">
        <v>151</v>
      </c>
      <c r="F37" s="195">
        <f ca="1">IF(ISNUMBER(F36),IF(AND(IF(F36&lt;40,F36,(F36-32)*5/9)&gt;=15,IF(F36&lt;40,F36,(F36-32)*5/9)&lt;=30.9),ROUND(FORECAST(IF(F36&lt;40,F36,(F36-32)*5/9),OFFSET('Water Density'!$C$5:$C$164,MATCH(IF(F36&lt;40,F36,(F36-32)*5/9),'Water Density'!$B$5:$B$164,1)-1,0,2),OFFSET('Water Density'!$B$5:$B$164,MATCH(IF(F36&lt;40,F36,(F36-32)*5/9),'Water Density'!$B$5:$B$164,1)-1,0,2)),5),"Temp Out of Range"),"Need Temperature")</f>
        <v>0.99704999999999999</v>
      </c>
      <c r="G37" s="196">
        <f ca="1">IF(ISNUMBER(G36),IF(AND(IF(G36&lt;40,G36,(G36-32)*5/9)&gt;=15,IF(G36&lt;40,G36,(G36-32)*5/9)&lt;=30.9),ROUND(FORECAST(IF(G36&lt;40,G36,(G36-32)*5/9),OFFSET('Water Density'!$C$5:$C$164,MATCH(IF(G36&lt;40,G36,(G36-32)*5/9),'Water Density'!$B$5:$B$164,1)-1,0,2),OFFSET('Water Density'!$B$5:$B$164,MATCH(IF(G36&lt;40,G36,(G36-32)*5/9),'Water Density'!$B$5:$B$164,1)-1,0,2)),5),"Temp Out of Range"),"Need Temperature")</f>
        <v>0.99900999999999995</v>
      </c>
      <c r="M37"/>
      <c r="N37"/>
      <c r="O37"/>
    </row>
    <row r="38" spans="2:15" x14ac:dyDescent="0.25">
      <c r="B38" s="77" t="s">
        <v>168</v>
      </c>
      <c r="C38" s="180"/>
      <c r="D38" s="180"/>
      <c r="E38" s="188" t="s">
        <v>46</v>
      </c>
      <c r="F38" s="91">
        <f ca="1">IF(ISNUMBER(F35),IF(AND(F$37&lt;&gt;"Temp Out of Range",F$37&lt;&gt;"Need Temperature"),ROUND((F35/F37*10/F32) - (F35/F37*10/F32*0.05),1),F37),"")</f>
        <v>48.6</v>
      </c>
      <c r="G38" s="92">
        <f ca="1">IF(ISNUMBER(G35),IF(AND(G$37&lt;&gt;"Temp Out of Range",G$37&lt;&gt;"Need Temperature"),ROUND((G35/G37*10/G32) - (G35/G37*10/G32*0.05),1),G37),"")</f>
        <v>50.6</v>
      </c>
      <c r="M38"/>
      <c r="N38"/>
      <c r="O38"/>
    </row>
    <row r="39" spans="2:15" x14ac:dyDescent="0.25">
      <c r="B39" s="77" t="s">
        <v>169</v>
      </c>
      <c r="E39" s="188" t="s">
        <v>46</v>
      </c>
      <c r="F39" s="146">
        <v>49</v>
      </c>
      <c r="G39" s="147">
        <v>56</v>
      </c>
    </row>
    <row r="40" spans="2:15" x14ac:dyDescent="0.25">
      <c r="B40" s="77" t="s">
        <v>170</v>
      </c>
      <c r="E40" s="188" t="s">
        <v>46</v>
      </c>
      <c r="F40" s="91">
        <f ca="1">IF(ISNUMBER(F35),IF(AND(F$37&lt;&gt;"Temp Out of Range",F$37&lt;&gt;"Need Temperature"),ROUND((F35/F37*10/F32) + (F35/F37*10/F32*0.05),1),F37),"")</f>
        <v>53.7</v>
      </c>
      <c r="G40" s="92">
        <f ca="1">IF(ISNUMBER(G35),IF(AND(G$37&lt;&gt;"Temp Out of Range",G$37&lt;&gt;"Need Temperature"),ROUND((G35/G37*10/G32) + (G35/G37*10/G32*0.05),1),G37),"")</f>
        <v>56</v>
      </c>
    </row>
    <row r="41" spans="2:15" ht="15.75" thickBot="1" x14ac:dyDescent="0.3">
      <c r="B41" s="193" t="s">
        <v>171</v>
      </c>
      <c r="C41" s="73"/>
      <c r="D41" s="73"/>
      <c r="E41" s="194" t="s">
        <v>166</v>
      </c>
      <c r="F41" s="98" t="str">
        <f ca="1">IF(SUMPRODUCT(--ISNUMBER(F$38:F$40))=3,IF(AND(F$39&gt;=F$38,F$39&lt;=F$40),"Pass","Fail"),"")</f>
        <v>Pass</v>
      </c>
      <c r="G41" s="99" t="str">
        <f ca="1">IF(SUMPRODUCT(--ISNUMBER(G$38:G$40))=3,IF(AND(G$39&gt;=G$38,G$39&lt;=G$40),"Pass","Fail"),"")</f>
        <v>Pass</v>
      </c>
    </row>
    <row r="42" spans="2:15" ht="15.75" thickTop="1" x14ac:dyDescent="0.25">
      <c r="K42" s="29"/>
    </row>
    <row r="43" spans="2:15" x14ac:dyDescent="0.25">
      <c r="B43" s="1" t="s">
        <v>199</v>
      </c>
      <c r="C43" s="323">
        <v>44242</v>
      </c>
      <c r="D43" s="323"/>
      <c r="G43" s="1" t="s">
        <v>212</v>
      </c>
    </row>
    <row r="44" spans="2:15" x14ac:dyDescent="0.25">
      <c r="E44" s="30"/>
    </row>
    <row r="45" spans="2:15" x14ac:dyDescent="0.25">
      <c r="E45" s="30"/>
    </row>
    <row r="46" spans="2:15" x14ac:dyDescent="0.25">
      <c r="E46" s="30"/>
    </row>
    <row r="47" spans="2:15" x14ac:dyDescent="0.25">
      <c r="E47" s="30"/>
    </row>
    <row r="48" spans="2:15" x14ac:dyDescent="0.25">
      <c r="E48" s="30"/>
    </row>
    <row r="49" spans="5:5" x14ac:dyDescent="0.25">
      <c r="E49" s="30"/>
    </row>
    <row r="50" spans="5:5" x14ac:dyDescent="0.25">
      <c r="E50" s="30"/>
    </row>
    <row r="51" spans="5:5" x14ac:dyDescent="0.25">
      <c r="E51" s="30"/>
    </row>
    <row r="52" spans="5:5" x14ac:dyDescent="0.25">
      <c r="E52" s="30"/>
    </row>
    <row r="53" spans="5:5" x14ac:dyDescent="0.25">
      <c r="E53" s="30"/>
    </row>
    <row r="54" spans="5:5" x14ac:dyDescent="0.25">
      <c r="E54" s="30"/>
    </row>
    <row r="55" spans="5:5" x14ac:dyDescent="0.25">
      <c r="E55" s="30"/>
    </row>
    <row r="56" spans="5:5" x14ac:dyDescent="0.25">
      <c r="E56" s="30"/>
    </row>
    <row r="57" spans="5:5" x14ac:dyDescent="0.25">
      <c r="E57" s="30"/>
    </row>
    <row r="58" spans="5:5" x14ac:dyDescent="0.25">
      <c r="E58" s="30"/>
    </row>
    <row r="59" spans="5:5" x14ac:dyDescent="0.25">
      <c r="E59" s="30"/>
    </row>
    <row r="60" spans="5:5" x14ac:dyDescent="0.25">
      <c r="E60" s="30"/>
    </row>
    <row r="61" spans="5:5" x14ac:dyDescent="0.25">
      <c r="E61" s="30"/>
    </row>
    <row r="62" spans="5:5" x14ac:dyDescent="0.25">
      <c r="E62" s="30"/>
    </row>
    <row r="63" spans="5:5" x14ac:dyDescent="0.25">
      <c r="E63" s="30"/>
    </row>
    <row r="64" spans="5:5" x14ac:dyDescent="0.25">
      <c r="E64" s="30"/>
    </row>
    <row r="65" spans="5:5" x14ac:dyDescent="0.25">
      <c r="E65" s="30"/>
    </row>
    <row r="66" spans="5:5" x14ac:dyDescent="0.25">
      <c r="E66" s="30"/>
    </row>
    <row r="67" spans="5:5" x14ac:dyDescent="0.25">
      <c r="E67" s="30"/>
    </row>
    <row r="68" spans="5:5" x14ac:dyDescent="0.25">
      <c r="E68" s="30"/>
    </row>
    <row r="69" spans="5:5" x14ac:dyDescent="0.25">
      <c r="E69" s="30"/>
    </row>
    <row r="70" spans="5:5" x14ac:dyDescent="0.25">
      <c r="E70" s="30"/>
    </row>
    <row r="71" spans="5:5" x14ac:dyDescent="0.25">
      <c r="E71" s="30"/>
    </row>
    <row r="72" spans="5:5" x14ac:dyDescent="0.25">
      <c r="E72" s="30"/>
    </row>
    <row r="73" spans="5:5" x14ac:dyDescent="0.25">
      <c r="E73" s="30"/>
    </row>
    <row r="74" spans="5:5" x14ac:dyDescent="0.25">
      <c r="E74" s="30"/>
    </row>
    <row r="75" spans="5:5" x14ac:dyDescent="0.25">
      <c r="E75" s="30"/>
    </row>
    <row r="76" spans="5:5" x14ac:dyDescent="0.25">
      <c r="E76" s="30"/>
    </row>
    <row r="77" spans="5:5" x14ac:dyDescent="0.25">
      <c r="E77" s="30"/>
    </row>
    <row r="78" spans="5:5" x14ac:dyDescent="0.25">
      <c r="E78" s="30"/>
    </row>
    <row r="79" spans="5:5" x14ac:dyDescent="0.25">
      <c r="E79" s="30"/>
    </row>
    <row r="80" spans="5:5" x14ac:dyDescent="0.25">
      <c r="E80" s="30"/>
    </row>
    <row r="81" spans="5:5" x14ac:dyDescent="0.25">
      <c r="E81" s="30"/>
    </row>
    <row r="82" spans="5:5" x14ac:dyDescent="0.25">
      <c r="E82" s="30"/>
    </row>
    <row r="83" spans="5:5" x14ac:dyDescent="0.25">
      <c r="E83" s="30"/>
    </row>
    <row r="84" spans="5:5" x14ac:dyDescent="0.25">
      <c r="E84" s="30"/>
    </row>
    <row r="85" spans="5:5" x14ac:dyDescent="0.25">
      <c r="E85" s="30"/>
    </row>
    <row r="86" spans="5:5" x14ac:dyDescent="0.25">
      <c r="E86" s="30"/>
    </row>
    <row r="87" spans="5:5" x14ac:dyDescent="0.25">
      <c r="E87" s="30"/>
    </row>
    <row r="88" spans="5:5" x14ac:dyDescent="0.25">
      <c r="E88" s="30"/>
    </row>
    <row r="89" spans="5:5" x14ac:dyDescent="0.25">
      <c r="E89" s="30"/>
    </row>
    <row r="90" spans="5:5" x14ac:dyDescent="0.25">
      <c r="E90" s="30"/>
    </row>
    <row r="91" spans="5:5" x14ac:dyDescent="0.25">
      <c r="E91" s="30"/>
    </row>
    <row r="92" spans="5:5" x14ac:dyDescent="0.25">
      <c r="E92" s="30"/>
    </row>
    <row r="93" spans="5:5" x14ac:dyDescent="0.25">
      <c r="E93" s="30"/>
    </row>
    <row r="94" spans="5:5" x14ac:dyDescent="0.25">
      <c r="E94" s="30"/>
    </row>
    <row r="95" spans="5:5" x14ac:dyDescent="0.25">
      <c r="E95" s="30"/>
    </row>
    <row r="96" spans="5:5" x14ac:dyDescent="0.25">
      <c r="E96" s="30"/>
    </row>
    <row r="97" spans="5:5" x14ac:dyDescent="0.25">
      <c r="E97" s="30"/>
    </row>
    <row r="98" spans="5:5" x14ac:dyDescent="0.25">
      <c r="E98" s="30"/>
    </row>
    <row r="99" spans="5:5" x14ac:dyDescent="0.25">
      <c r="E99" s="30"/>
    </row>
    <row r="100" spans="5:5" x14ac:dyDescent="0.25">
      <c r="E100" s="30"/>
    </row>
    <row r="101" spans="5:5" x14ac:dyDescent="0.25">
      <c r="E101" s="30"/>
    </row>
    <row r="102" spans="5:5" x14ac:dyDescent="0.25">
      <c r="E102" s="30"/>
    </row>
    <row r="103" spans="5:5" x14ac:dyDescent="0.25">
      <c r="E103" s="30"/>
    </row>
    <row r="104" spans="5:5" x14ac:dyDescent="0.25">
      <c r="E104" s="30"/>
    </row>
    <row r="105" spans="5:5" x14ac:dyDescent="0.25">
      <c r="E105" s="30"/>
    </row>
    <row r="106" spans="5:5" x14ac:dyDescent="0.25">
      <c r="E106" s="30"/>
    </row>
    <row r="107" spans="5:5" x14ac:dyDescent="0.25">
      <c r="E107" s="30"/>
    </row>
    <row r="108" spans="5:5" x14ac:dyDescent="0.25">
      <c r="E108" s="30"/>
    </row>
    <row r="109" spans="5:5" x14ac:dyDescent="0.25">
      <c r="E109" s="30"/>
    </row>
    <row r="110" spans="5:5" x14ac:dyDescent="0.25">
      <c r="E110" s="30"/>
    </row>
    <row r="111" spans="5:5" x14ac:dyDescent="0.25">
      <c r="E111" s="30"/>
    </row>
    <row r="112" spans="5:5" x14ac:dyDescent="0.25">
      <c r="E112" s="30"/>
    </row>
    <row r="113" spans="5:5" x14ac:dyDescent="0.25">
      <c r="E113" s="30"/>
    </row>
    <row r="114" spans="5:5" x14ac:dyDescent="0.25">
      <c r="E114" s="30"/>
    </row>
    <row r="115" spans="5:5" x14ac:dyDescent="0.25">
      <c r="E115" s="30"/>
    </row>
    <row r="116" spans="5:5" x14ac:dyDescent="0.25">
      <c r="E116" s="30"/>
    </row>
    <row r="117" spans="5:5" x14ac:dyDescent="0.25">
      <c r="E117" s="30"/>
    </row>
    <row r="118" spans="5:5" x14ac:dyDescent="0.25">
      <c r="E118" s="30"/>
    </row>
    <row r="119" spans="5:5" x14ac:dyDescent="0.25">
      <c r="E119" s="30"/>
    </row>
    <row r="120" spans="5:5" x14ac:dyDescent="0.25">
      <c r="E120" s="30"/>
    </row>
    <row r="121" spans="5:5" x14ac:dyDescent="0.25">
      <c r="E121" s="30"/>
    </row>
    <row r="122" spans="5:5" x14ac:dyDescent="0.25">
      <c r="E122" s="30"/>
    </row>
    <row r="123" spans="5:5" x14ac:dyDescent="0.25">
      <c r="E123" s="30"/>
    </row>
    <row r="124" spans="5:5" x14ac:dyDescent="0.25">
      <c r="E124" s="30"/>
    </row>
    <row r="125" spans="5:5" x14ac:dyDescent="0.25">
      <c r="E125" s="30"/>
    </row>
    <row r="126" spans="5:5" x14ac:dyDescent="0.25">
      <c r="E126" s="30"/>
    </row>
    <row r="127" spans="5:5" x14ac:dyDescent="0.25">
      <c r="E127" s="30"/>
    </row>
    <row r="128" spans="5:5" x14ac:dyDescent="0.25">
      <c r="E128" s="30"/>
    </row>
    <row r="129" spans="5:5" x14ac:dyDescent="0.25">
      <c r="E129" s="30"/>
    </row>
    <row r="130" spans="5:5" x14ac:dyDescent="0.25">
      <c r="E130" s="30"/>
    </row>
    <row r="131" spans="5:5" x14ac:dyDescent="0.25">
      <c r="E131" s="30"/>
    </row>
    <row r="132" spans="5:5" x14ac:dyDescent="0.25">
      <c r="E132" s="30"/>
    </row>
    <row r="133" spans="5:5" x14ac:dyDescent="0.25">
      <c r="E133" s="30"/>
    </row>
    <row r="134" spans="5:5" x14ac:dyDescent="0.25">
      <c r="E134" s="30"/>
    </row>
    <row r="135" spans="5:5" x14ac:dyDescent="0.25">
      <c r="E135" s="30"/>
    </row>
    <row r="136" spans="5:5" x14ac:dyDescent="0.25">
      <c r="E136" s="30"/>
    </row>
    <row r="137" spans="5:5" x14ac:dyDescent="0.25">
      <c r="E137" s="30"/>
    </row>
    <row r="138" spans="5:5" x14ac:dyDescent="0.25">
      <c r="E138" s="30"/>
    </row>
    <row r="139" spans="5:5" x14ac:dyDescent="0.25">
      <c r="E139" s="30"/>
    </row>
    <row r="140" spans="5:5" x14ac:dyDescent="0.25">
      <c r="E140" s="30"/>
    </row>
    <row r="141" spans="5:5" x14ac:dyDescent="0.25">
      <c r="E141" s="30"/>
    </row>
    <row r="142" spans="5:5" x14ac:dyDescent="0.25">
      <c r="E142" s="30"/>
    </row>
    <row r="143" spans="5:5" x14ac:dyDescent="0.25">
      <c r="E143" s="30"/>
    </row>
    <row r="144" spans="5:5" x14ac:dyDescent="0.25">
      <c r="E144" s="30"/>
    </row>
    <row r="145" spans="5:5" x14ac:dyDescent="0.25">
      <c r="E145" s="30"/>
    </row>
    <row r="146" spans="5:5" x14ac:dyDescent="0.25">
      <c r="E146" s="30"/>
    </row>
    <row r="147" spans="5:5" x14ac:dyDescent="0.25">
      <c r="E147" s="30"/>
    </row>
    <row r="148" spans="5:5" x14ac:dyDescent="0.25">
      <c r="E148" s="30"/>
    </row>
    <row r="149" spans="5:5" x14ac:dyDescent="0.25">
      <c r="E149" s="30"/>
    </row>
    <row r="150" spans="5:5" x14ac:dyDescent="0.25">
      <c r="E150" s="30"/>
    </row>
    <row r="151" spans="5:5" x14ac:dyDescent="0.25">
      <c r="E151" s="30"/>
    </row>
    <row r="152" spans="5:5" x14ac:dyDescent="0.25">
      <c r="E152" s="30"/>
    </row>
    <row r="153" spans="5:5" x14ac:dyDescent="0.25">
      <c r="E153" s="30"/>
    </row>
    <row r="154" spans="5:5" x14ac:dyDescent="0.25">
      <c r="E154" s="30"/>
    </row>
    <row r="155" spans="5:5" x14ac:dyDescent="0.25">
      <c r="E155" s="30"/>
    </row>
    <row r="156" spans="5:5" x14ac:dyDescent="0.25">
      <c r="E156" s="30"/>
    </row>
    <row r="157" spans="5:5" x14ac:dyDescent="0.25">
      <c r="E157" s="30"/>
    </row>
    <row r="158" spans="5:5" x14ac:dyDescent="0.25">
      <c r="E158" s="30"/>
    </row>
    <row r="159" spans="5:5" x14ac:dyDescent="0.25">
      <c r="E159" s="30"/>
    </row>
    <row r="160" spans="5:5" x14ac:dyDescent="0.25">
      <c r="E160" s="30"/>
    </row>
    <row r="161" spans="5:5" x14ac:dyDescent="0.25">
      <c r="E161" s="30"/>
    </row>
    <row r="162" spans="5:5" x14ac:dyDescent="0.25">
      <c r="E162" s="30"/>
    </row>
    <row r="163" spans="5:5" x14ac:dyDescent="0.25">
      <c r="E163" s="30"/>
    </row>
    <row r="164" spans="5:5" x14ac:dyDescent="0.25">
      <c r="E164" s="30"/>
    </row>
    <row r="165" spans="5:5" x14ac:dyDescent="0.25">
      <c r="E165" s="30"/>
    </row>
    <row r="166" spans="5:5" x14ac:dyDescent="0.25">
      <c r="E166" s="30"/>
    </row>
    <row r="167" spans="5:5" x14ac:dyDescent="0.25">
      <c r="E167" s="30"/>
    </row>
    <row r="168" spans="5:5" x14ac:dyDescent="0.25">
      <c r="E168" s="30"/>
    </row>
    <row r="169" spans="5:5" x14ac:dyDescent="0.25">
      <c r="E169" s="30"/>
    </row>
    <row r="170" spans="5:5" x14ac:dyDescent="0.25">
      <c r="E170" s="30"/>
    </row>
    <row r="171" spans="5:5" x14ac:dyDescent="0.25">
      <c r="E171" s="30"/>
    </row>
    <row r="172" spans="5:5" x14ac:dyDescent="0.25">
      <c r="E172" s="30"/>
    </row>
    <row r="173" spans="5:5" x14ac:dyDescent="0.25">
      <c r="E173" s="30"/>
    </row>
    <row r="174" spans="5:5" x14ac:dyDescent="0.25">
      <c r="E174" s="30"/>
    </row>
    <row r="175" spans="5:5" x14ac:dyDescent="0.25">
      <c r="E175" s="30"/>
    </row>
    <row r="176" spans="5:5" x14ac:dyDescent="0.25">
      <c r="E176" s="30"/>
    </row>
    <row r="177" spans="5:5" x14ac:dyDescent="0.25">
      <c r="E177" s="30"/>
    </row>
    <row r="178" spans="5:5" x14ac:dyDescent="0.25">
      <c r="E178" s="30"/>
    </row>
    <row r="179" spans="5:5" x14ac:dyDescent="0.25">
      <c r="E179" s="30"/>
    </row>
    <row r="180" spans="5:5" x14ac:dyDescent="0.25">
      <c r="E180" s="30"/>
    </row>
    <row r="181" spans="5:5" x14ac:dyDescent="0.25">
      <c r="E181" s="30"/>
    </row>
    <row r="182" spans="5:5" x14ac:dyDescent="0.25">
      <c r="E182" s="30"/>
    </row>
    <row r="183" spans="5:5" x14ac:dyDescent="0.25">
      <c r="E183" s="30"/>
    </row>
    <row r="184" spans="5:5" x14ac:dyDescent="0.25">
      <c r="E184" s="30"/>
    </row>
    <row r="185" spans="5:5" x14ac:dyDescent="0.25">
      <c r="E185" s="30"/>
    </row>
    <row r="186" spans="5:5" x14ac:dyDescent="0.25">
      <c r="E186" s="30"/>
    </row>
    <row r="187" spans="5:5" x14ac:dyDescent="0.25">
      <c r="E187" s="30"/>
    </row>
    <row r="188" spans="5:5" x14ac:dyDescent="0.25">
      <c r="E188" s="30"/>
    </row>
    <row r="189" spans="5:5" x14ac:dyDescent="0.25">
      <c r="E189" s="30"/>
    </row>
    <row r="190" spans="5:5" x14ac:dyDescent="0.25">
      <c r="E190" s="30"/>
    </row>
    <row r="191" spans="5:5" x14ac:dyDescent="0.25">
      <c r="E191" s="30"/>
    </row>
    <row r="192" spans="5:5" x14ac:dyDescent="0.25">
      <c r="E192" s="30"/>
    </row>
    <row r="193" spans="5:5" x14ac:dyDescent="0.25">
      <c r="E193" s="30"/>
    </row>
    <row r="194" spans="5:5" x14ac:dyDescent="0.25">
      <c r="E194" s="30"/>
    </row>
    <row r="195" spans="5:5" x14ac:dyDescent="0.25">
      <c r="E195" s="30"/>
    </row>
    <row r="196" spans="5:5" x14ac:dyDescent="0.25">
      <c r="E196" s="30"/>
    </row>
    <row r="197" spans="5:5" x14ac:dyDescent="0.25">
      <c r="E197" s="30"/>
    </row>
    <row r="198" spans="5:5" x14ac:dyDescent="0.25">
      <c r="E198" s="30"/>
    </row>
    <row r="199" spans="5:5" x14ac:dyDescent="0.25">
      <c r="E199" s="30"/>
    </row>
    <row r="200" spans="5:5" x14ac:dyDescent="0.25">
      <c r="E200" s="30"/>
    </row>
    <row r="201" spans="5:5" x14ac:dyDescent="0.25">
      <c r="E201" s="30"/>
    </row>
    <row r="202" spans="5:5" x14ac:dyDescent="0.25">
      <c r="E202" s="30"/>
    </row>
  </sheetData>
  <sheetProtection sheet="1" selectLockedCells="1"/>
  <mergeCells count="11">
    <mergeCell ref="C43:D43"/>
    <mergeCell ref="B10:B11"/>
    <mergeCell ref="B8:E8"/>
    <mergeCell ref="B9:E9"/>
    <mergeCell ref="B2:G2"/>
    <mergeCell ref="B4:E4"/>
    <mergeCell ref="B5:E5"/>
    <mergeCell ref="B6:E6"/>
    <mergeCell ref="B7:E7"/>
    <mergeCell ref="B3:E3"/>
    <mergeCell ref="C10:E10"/>
  </mergeCells>
  <conditionalFormatting sqref="F14:G20 F22:G22">
    <cfRule type="expression" dxfId="44" priority="18">
      <formula>OR(F$14&lt;15,AND(F$14&gt;30.9,F$14&lt;59),F$14&gt;87.62)</formula>
    </cfRule>
  </conditionalFormatting>
  <conditionalFormatting sqref="F18:G18">
    <cfRule type="expression" dxfId="43" priority="3">
      <formula>AND(NOT(ISNUMBER(F$26)),F$18="Need Mass")</formula>
    </cfRule>
  </conditionalFormatting>
  <conditionalFormatting sqref="F19:G19">
    <cfRule type="expression" priority="7" stopIfTrue="1">
      <formula>F25="Yes"</formula>
    </cfRule>
    <cfRule type="expression" dxfId="42" priority="21">
      <formula>F$19="No"</formula>
    </cfRule>
  </conditionalFormatting>
  <conditionalFormatting sqref="F20:G20">
    <cfRule type="expression" priority="6" stopIfTrue="1">
      <formula>F25="Yes"</formula>
    </cfRule>
    <cfRule type="expression" dxfId="41" priority="16">
      <formula>F20="Fill with Required Mass"</formula>
    </cfRule>
  </conditionalFormatting>
  <conditionalFormatting sqref="F23:G23">
    <cfRule type="expression" priority="5" stopIfTrue="1">
      <formula>F25="Yes"</formula>
    </cfRule>
    <cfRule type="expression" dxfId="40" priority="22">
      <formula>F$24="No"</formula>
    </cfRule>
  </conditionalFormatting>
  <conditionalFormatting sqref="F24:G24">
    <cfRule type="expression" priority="4" stopIfTrue="1">
      <formula>F25="Yes"</formula>
    </cfRule>
    <cfRule type="expression" dxfId="39" priority="15">
      <formula>OR(F$24="Need Volume",F$24="No")</formula>
    </cfRule>
  </conditionalFormatting>
  <conditionalFormatting sqref="F25:G25">
    <cfRule type="expression" dxfId="38" priority="17">
      <formula>AND($F24="No",$F25="No")</formula>
    </cfRule>
  </conditionalFormatting>
  <conditionalFormatting sqref="F26:G26">
    <cfRule type="expression" dxfId="37" priority="8">
      <formula>NOT(AND(F$26&gt;=995,F$26&lt;=1005))</formula>
    </cfRule>
  </conditionalFormatting>
  <conditionalFormatting sqref="F35:G35">
    <cfRule type="expression" dxfId="36" priority="1">
      <formula>OR(F$35&lt;149,F$35&gt;151)</formula>
    </cfRule>
  </conditionalFormatting>
  <conditionalFormatting sqref="F36:G36">
    <cfRule type="expression" dxfId="35" priority="308">
      <formula>#REF!=2</formula>
    </cfRule>
  </conditionalFormatting>
  <conditionalFormatting sqref="F36:G38">
    <cfRule type="expression" dxfId="34" priority="12">
      <formula>OR(F$36&lt;15,AND(F$36&gt;30.9,F$36&lt;59),F$36&gt;87.62)</formula>
    </cfRule>
  </conditionalFormatting>
  <conditionalFormatting sqref="F40:G40">
    <cfRule type="expression" dxfId="33" priority="11">
      <formula>OR(F$36&lt;15,AND(F$36&gt;30.9,F$36&lt;59),F$36&gt;87.62)</formula>
    </cfRule>
  </conditionalFormatting>
  <conditionalFormatting sqref="F41:G41">
    <cfRule type="expression" dxfId="32" priority="9">
      <formula>F$41="Fail"</formula>
    </cfRule>
  </conditionalFormatting>
  <dataValidations disablePrompts="1" count="1">
    <dataValidation type="list" allowBlank="1" showInputMessage="1" showErrorMessage="1" sqref="F25:G25" xr:uid="{70E6AC7C-4CDE-4A53-B5A5-F5426944F2E3}">
      <formula1>"Yes,No"</formula1>
    </dataValidation>
  </dataValidations>
  <pageMargins left="0.7" right="0.7" top="0.75" bottom="0.75" header="0.3" footer="0.3"/>
  <pageSetup scale="5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14" r:id="rId4" name="Group Box 18">
              <controlPr defaultSize="0" autoFill="0" autoPict="0">
                <anchor moveWithCells="1">
                  <from>
                    <xdr:col>5</xdr:col>
                    <xdr:colOff>0</xdr:colOff>
                    <xdr:row>34</xdr:row>
                    <xdr:rowOff>0</xdr:rowOff>
                  </from>
                  <to>
                    <xdr:col>6</xdr:col>
                    <xdr:colOff>0</xdr:colOff>
                    <xdr:row>36</xdr:row>
                    <xdr:rowOff>0</xdr:rowOff>
                  </to>
                </anchor>
              </controlPr>
            </control>
          </mc:Choice>
        </mc:AlternateContent>
        <mc:AlternateContent xmlns:mc="http://schemas.openxmlformats.org/markup-compatibility/2006">
          <mc:Choice Requires="x14">
            <control shapeId="4118" r:id="rId5" name="Group Box 22">
              <controlPr defaultSize="0" autoFill="0" autoPict="0">
                <anchor moveWithCells="1">
                  <from>
                    <xdr:col>6</xdr:col>
                    <xdr:colOff>0</xdr:colOff>
                    <xdr:row>34</xdr:row>
                    <xdr:rowOff>0</xdr:rowOff>
                  </from>
                  <to>
                    <xdr:col>7</xdr:col>
                    <xdr:colOff>0</xdr:colOff>
                    <xdr:row>36</xdr:row>
                    <xdr:rowOff>0</xdr:rowOff>
                  </to>
                </anchor>
              </controlPr>
            </control>
          </mc:Choice>
        </mc:AlternateContent>
        <mc:AlternateContent xmlns:mc="http://schemas.openxmlformats.org/markup-compatibility/2006">
          <mc:Choice Requires="x14">
            <control shapeId="4126" r:id="rId6" name="Group Box 30">
              <controlPr defaultSize="0" autoFill="0" autoPict="0">
                <anchor moveWithCells="1">
                  <from>
                    <xdr:col>5</xdr:col>
                    <xdr:colOff>0</xdr:colOff>
                    <xdr:row>34</xdr:row>
                    <xdr:rowOff>0</xdr:rowOff>
                  </from>
                  <to>
                    <xdr:col>6</xdr:col>
                    <xdr:colOff>0</xdr:colOff>
                    <xdr:row>36</xdr:row>
                    <xdr:rowOff>0</xdr:rowOff>
                  </to>
                </anchor>
              </controlPr>
            </control>
          </mc:Choice>
        </mc:AlternateContent>
        <mc:AlternateContent xmlns:mc="http://schemas.openxmlformats.org/markup-compatibility/2006">
          <mc:Choice Requires="x14">
            <control shapeId="4129" r:id="rId7" name="Group Box 33">
              <controlPr defaultSize="0" autoFill="0" autoPict="0">
                <anchor moveWithCells="1">
                  <from>
                    <xdr:col>6</xdr:col>
                    <xdr:colOff>0</xdr:colOff>
                    <xdr:row>34</xdr:row>
                    <xdr:rowOff>0</xdr:rowOff>
                  </from>
                  <to>
                    <xdr:col>7</xdr:col>
                    <xdr:colOff>0</xdr:colOff>
                    <xdr:row>36</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1:L104"/>
  <sheetViews>
    <sheetView topLeftCell="A9" zoomScaleNormal="100" workbookViewId="0">
      <selection activeCell="D15" sqref="D15"/>
    </sheetView>
  </sheetViews>
  <sheetFormatPr defaultRowHeight="15" x14ac:dyDescent="0.25"/>
  <cols>
    <col min="2" max="2" width="34.7109375" bestFit="1" customWidth="1"/>
    <col min="3" max="3" width="39.28515625" bestFit="1" customWidth="1"/>
    <col min="4" max="5" width="18.140625" bestFit="1" customWidth="1"/>
    <col min="6" max="6" width="18.140625" customWidth="1"/>
    <col min="9" max="10" width="13.85546875" bestFit="1" customWidth="1"/>
    <col min="11" max="11" width="44.85546875" bestFit="1" customWidth="1"/>
    <col min="12" max="12" width="37.7109375" bestFit="1" customWidth="1"/>
    <col min="14" max="14" width="13.85546875" bestFit="1" customWidth="1"/>
    <col min="15" max="15" width="44.85546875" bestFit="1" customWidth="1"/>
    <col min="16" max="16" width="37.7109375" bestFit="1" customWidth="1"/>
  </cols>
  <sheetData>
    <row r="1" spans="2:6" ht="15.75" thickBot="1" x14ac:dyDescent="0.3"/>
    <row r="2" spans="2:6" ht="15.75" thickTop="1" x14ac:dyDescent="0.25">
      <c r="B2" s="314" t="s">
        <v>207</v>
      </c>
      <c r="C2" s="315"/>
      <c r="D2" s="315"/>
      <c r="E2" s="315"/>
      <c r="F2" s="316"/>
    </row>
    <row r="3" spans="2:6" x14ac:dyDescent="0.25">
      <c r="B3" s="326" t="s">
        <v>191</v>
      </c>
      <c r="C3" s="335"/>
      <c r="D3" s="110" t="s">
        <v>28</v>
      </c>
      <c r="E3" s="110" t="s">
        <v>29</v>
      </c>
      <c r="F3" s="111" t="s">
        <v>30</v>
      </c>
    </row>
    <row r="4" spans="2:6" ht="15.75" thickBot="1" x14ac:dyDescent="0.3">
      <c r="B4" s="212" t="s">
        <v>99</v>
      </c>
      <c r="C4" s="341"/>
      <c r="D4" s="112" t="s">
        <v>183</v>
      </c>
      <c r="E4" s="112" t="s">
        <v>183</v>
      </c>
      <c r="F4" s="113" t="s">
        <v>183</v>
      </c>
    </row>
    <row r="5" spans="2:6" x14ac:dyDescent="0.25">
      <c r="B5" s="229" t="s">
        <v>200</v>
      </c>
      <c r="C5" s="221"/>
      <c r="D5" s="221"/>
      <c r="E5" s="221"/>
      <c r="F5" s="222"/>
    </row>
    <row r="6" spans="2:6" x14ac:dyDescent="0.25">
      <c r="B6" s="326" t="s">
        <v>91</v>
      </c>
      <c r="C6" s="335"/>
      <c r="D6" s="104"/>
      <c r="E6" s="104"/>
      <c r="F6" s="105"/>
    </row>
    <row r="7" spans="2:6" x14ac:dyDescent="0.25">
      <c r="B7" s="205" t="s">
        <v>201</v>
      </c>
      <c r="C7" s="336"/>
      <c r="D7" s="106"/>
      <c r="E7" s="106"/>
      <c r="F7" s="107"/>
    </row>
    <row r="8" spans="2:6" x14ac:dyDescent="0.25">
      <c r="B8" s="205" t="s">
        <v>202</v>
      </c>
      <c r="C8" s="336"/>
      <c r="D8" s="104" t="s">
        <v>224</v>
      </c>
      <c r="E8" s="104" t="s">
        <v>224</v>
      </c>
      <c r="F8" s="105"/>
    </row>
    <row r="9" spans="2:6" x14ac:dyDescent="0.25">
      <c r="B9" s="205" t="s">
        <v>205</v>
      </c>
      <c r="C9" s="336"/>
      <c r="D9" s="104"/>
      <c r="E9" s="104"/>
      <c r="F9" s="105"/>
    </row>
    <row r="10" spans="2:6" x14ac:dyDescent="0.25">
      <c r="B10" s="205" t="s">
        <v>204</v>
      </c>
      <c r="C10" s="336"/>
      <c r="D10" s="104"/>
      <c r="E10" s="104"/>
      <c r="F10" s="105"/>
    </row>
    <row r="11" spans="2:6" x14ac:dyDescent="0.25">
      <c r="B11" s="330" t="s">
        <v>203</v>
      </c>
      <c r="C11" s="337"/>
      <c r="D11" s="108"/>
      <c r="E11" s="108"/>
      <c r="F11" s="109"/>
    </row>
    <row r="12" spans="2:6" x14ac:dyDescent="0.25">
      <c r="B12" s="62" t="s">
        <v>63</v>
      </c>
      <c r="C12" s="56" t="s">
        <v>43</v>
      </c>
      <c r="D12" s="56" t="s">
        <v>60</v>
      </c>
      <c r="E12" s="56" t="s">
        <v>60</v>
      </c>
      <c r="F12" s="63" t="s">
        <v>60</v>
      </c>
    </row>
    <row r="13" spans="2:6" x14ac:dyDescent="0.25">
      <c r="B13" s="64" t="s">
        <v>217</v>
      </c>
      <c r="C13" s="1" t="s">
        <v>218</v>
      </c>
      <c r="D13" s="203">
        <v>275</v>
      </c>
      <c r="E13" s="203">
        <v>285</v>
      </c>
      <c r="F13" s="178"/>
    </row>
    <row r="14" spans="2:6" x14ac:dyDescent="0.25">
      <c r="B14" s="64" t="s">
        <v>34</v>
      </c>
      <c r="C14" s="1" t="s">
        <v>219</v>
      </c>
      <c r="D14" s="114">
        <v>241</v>
      </c>
      <c r="E14" s="114">
        <v>248</v>
      </c>
      <c r="F14" s="115"/>
    </row>
    <row r="15" spans="2:6" x14ac:dyDescent="0.25">
      <c r="B15" s="64" t="s">
        <v>33</v>
      </c>
      <c r="C15" s="1" t="s">
        <v>31</v>
      </c>
      <c r="D15" s="114">
        <v>135.9</v>
      </c>
      <c r="E15" s="114">
        <v>134</v>
      </c>
      <c r="F15" s="115"/>
    </row>
    <row r="16" spans="2:6" x14ac:dyDescent="0.25">
      <c r="B16" s="64" t="s">
        <v>220</v>
      </c>
      <c r="C16" s="1" t="s">
        <v>221</v>
      </c>
      <c r="D16" s="114">
        <v>28</v>
      </c>
      <c r="E16" s="114">
        <v>33</v>
      </c>
      <c r="F16" s="115"/>
    </row>
    <row r="17" spans="2:12" x14ac:dyDescent="0.25">
      <c r="B17" s="64" t="s">
        <v>32</v>
      </c>
      <c r="C17" s="1" t="s">
        <v>35</v>
      </c>
      <c r="D17" s="114">
        <v>67.3</v>
      </c>
      <c r="E17" s="114">
        <v>70</v>
      </c>
      <c r="F17" s="115"/>
    </row>
    <row r="18" spans="2:12" x14ac:dyDescent="0.25">
      <c r="B18" s="64" t="s">
        <v>36</v>
      </c>
      <c r="C18" s="1" t="s">
        <v>222</v>
      </c>
      <c r="D18" s="114">
        <v>82</v>
      </c>
      <c r="E18" s="114">
        <v>82</v>
      </c>
      <c r="F18" s="115"/>
      <c r="J18" s="16"/>
      <c r="K18" s="14"/>
      <c r="L18" s="14"/>
    </row>
    <row r="19" spans="2:12" ht="15" customHeight="1" x14ac:dyDescent="0.25">
      <c r="B19" s="64" t="s">
        <v>48</v>
      </c>
      <c r="C19" s="51" t="s">
        <v>47</v>
      </c>
      <c r="D19" s="114">
        <v>16</v>
      </c>
      <c r="E19" s="114">
        <v>16</v>
      </c>
      <c r="F19" s="115"/>
    </row>
    <row r="20" spans="2:12" x14ac:dyDescent="0.25">
      <c r="B20" s="64" t="s">
        <v>49</v>
      </c>
      <c r="C20" s="51" t="s">
        <v>50</v>
      </c>
      <c r="D20" s="114">
        <v>5</v>
      </c>
      <c r="E20" s="114">
        <v>4</v>
      </c>
      <c r="F20" s="115"/>
    </row>
    <row r="21" spans="2:12" x14ac:dyDescent="0.25">
      <c r="B21" s="64" t="s">
        <v>5</v>
      </c>
      <c r="C21" s="1" t="s">
        <v>64</v>
      </c>
      <c r="D21" s="52">
        <f>IF(D$4="152H",-5,IF(D$4="151H",0.995,""))</f>
        <v>-5</v>
      </c>
      <c r="E21" s="52">
        <f>IF(E$4="152H",-5,IF(E$4="151H",0.995,""))</f>
        <v>-5</v>
      </c>
      <c r="F21" s="61"/>
    </row>
    <row r="22" spans="2:12" x14ac:dyDescent="0.25">
      <c r="B22" s="64" t="s">
        <v>6</v>
      </c>
      <c r="C22" s="1" t="s">
        <v>65</v>
      </c>
      <c r="D22" s="52">
        <f>IF(D$4="152H",60,IF(D$4="151H",1.038,""))</f>
        <v>60</v>
      </c>
      <c r="E22" s="52">
        <f>IF(E$4="152H",60,IF(E$4="151H",1.038,""))</f>
        <v>60</v>
      </c>
      <c r="F22" s="65"/>
    </row>
    <row r="23" spans="2:12" x14ac:dyDescent="0.25">
      <c r="B23" s="62" t="s">
        <v>62</v>
      </c>
      <c r="C23" s="56" t="s">
        <v>43</v>
      </c>
      <c r="D23" s="56" t="s">
        <v>60</v>
      </c>
      <c r="E23" s="56" t="s">
        <v>60</v>
      </c>
      <c r="F23" s="66"/>
      <c r="K23" s="204"/>
    </row>
    <row r="24" spans="2:12" x14ac:dyDescent="0.25">
      <c r="B24" s="64" t="s">
        <v>54</v>
      </c>
      <c r="C24" s="1"/>
      <c r="D24" s="114">
        <v>0</v>
      </c>
      <c r="E24" s="114">
        <v>-1</v>
      </c>
      <c r="F24" s="116"/>
      <c r="K24" s="204"/>
    </row>
    <row r="25" spans="2:12" x14ac:dyDescent="0.25">
      <c r="B25" s="64" t="s">
        <v>53</v>
      </c>
      <c r="C25" s="1" t="s">
        <v>55</v>
      </c>
      <c r="D25" s="117">
        <v>23</v>
      </c>
      <c r="E25" s="117">
        <v>25</v>
      </c>
      <c r="F25" s="116"/>
      <c r="H25" s="27"/>
      <c r="K25" s="204"/>
    </row>
    <row r="26" spans="2:12" x14ac:dyDescent="0.25">
      <c r="B26" s="64" t="s">
        <v>67</v>
      </c>
      <c r="C26" s="1" t="s">
        <v>66</v>
      </c>
      <c r="D26" s="53">
        <f ca="1">IF(AND(ISNUMBER(D$24),ISNUMBER(D$25)),IF(AND(IF(D$25&lt;40,D$25,(D$25-32)*5/9)&gt;=15,IF(D$25&lt;40,D$25,(D$25-32)*5/9)&lt;=30.9),IF(D$4="151H",ROUND(D$24*INDEX('Water Density'!$C$5:$C$164,MATCH(20,'Water Density'!$B$5:$B$164)+1,1)/FORECAST(IF(D$25&lt;40,D$25,(D$25-32)*5/9),OFFSET('Water Density'!$C$5:$C$164,MATCH(IF(D$25&lt;40,D$25,(D$25-32)*5/9),'Water Density'!$B$5:$B$164,1)-1,0,2),OFFSET('Water Density'!$B$5:$B$164,MATCH(IF(D$25&lt;40,D$25,(D$25-32)*5/9),'Water Density'!$B$5:$B$164,1)-1,0,2)),5),IF(D$4="152H",ROUND(D$24+(1606*(INDEX('Water Density'!$C$5:$C$164,MATCH(20,'Water Density'!$B$5:$B$164)+1,1)-FORECAST(IF(D$25&lt;40,D$25,(D$25-32)*5/9),OFFSET('Water Density'!$C$5:$C$164,MATCH(IF(D$25&lt;40,D$25,(D$25-32)*5/9),'Water Density'!$B$5:$B$164,1)-1,0,2),OFFSET('Water Density'!$B$5:$B$164,MATCH(IF(D$25&lt;40,D$25,(D$25-32)*5/9),'Water Density'!$B$5:$B$164,1)-1,0,2)))),2))),"Out of Range"),"")</f>
        <v>1.08</v>
      </c>
      <c r="E26" s="53">
        <f ca="1">IF(AND(ISNUMBER(E$24),ISNUMBER(E$25)),IF(AND(IF(E$25&lt;40,E$25,(E$25-32)*5/9)&gt;=15,IF(E$25&lt;40,E$25,(E$25-32)*5/9)&lt;=30.9),IF(E$4="151H",ROUND(E$24*INDEX('Water Density'!$C$5:$C$164,MATCH(20,'Water Density'!$B$5:$B$164)+1,1)/FORECAST(IF(E$25&lt;40,E$25,(E$25-32)*5/9),OFFSET('Water Density'!$C$5:$C$164,MATCH(IF(E$25&lt;40,E$25,(E$25-32)*5/9),'Water Density'!$B$5:$B$164,1)-1,0,2),OFFSET('Water Density'!$B$5:$B$164,MATCH(IF(E$25&lt;40,E$25,(E$25-32)*5/9),'Water Density'!$B$5:$B$164,1)-1,0,2)),5),IF(E$4="152H",ROUND(E$24+(1606*(INDEX('Water Density'!$C$5:$C$164,MATCH(20,'Water Density'!$B$5:$B$164)+1,1)-FORECAST(IF(E$25&lt;40,E$25,(E$25-32)*5/9),OFFSET('Water Density'!$C$5:$C$164,MATCH(IF(E$25&lt;40,E$25,(E$25-32)*5/9),'Water Density'!$B$5:$B$164,1)-1,0,2),OFFSET('Water Density'!$B$5:$B$164,MATCH(IF(E$25&lt;40,E$25,(E$25-32)*5/9),'Water Density'!$B$5:$B$164,1)-1,0,2)))),2))),"Out of Range"),"")</f>
        <v>0.86</v>
      </c>
      <c r="F26" s="65"/>
      <c r="K26" s="204"/>
    </row>
    <row r="27" spans="2:12" x14ac:dyDescent="0.25">
      <c r="B27" s="62" t="s">
        <v>25</v>
      </c>
      <c r="C27" s="57" t="s">
        <v>68</v>
      </c>
      <c r="D27" s="57" t="s">
        <v>60</v>
      </c>
      <c r="E27" s="57" t="s">
        <v>60</v>
      </c>
      <c r="F27" s="66"/>
      <c r="K27" s="204"/>
    </row>
    <row r="28" spans="2:12" x14ac:dyDescent="0.25">
      <c r="B28" s="64" t="s">
        <v>71</v>
      </c>
      <c r="C28" s="1" t="s">
        <v>69</v>
      </c>
      <c r="D28" s="114">
        <v>7</v>
      </c>
      <c r="E28" s="114">
        <v>1.0055000000000001</v>
      </c>
      <c r="F28" s="116"/>
      <c r="K28" s="204"/>
    </row>
    <row r="29" spans="2:12" x14ac:dyDescent="0.25">
      <c r="B29" s="64" t="s">
        <v>72</v>
      </c>
      <c r="C29" s="1" t="s">
        <v>52</v>
      </c>
      <c r="D29" s="118">
        <v>17.8</v>
      </c>
      <c r="E29" s="118">
        <v>18.399999999999999</v>
      </c>
      <c r="F29" s="119"/>
      <c r="K29" s="204"/>
    </row>
    <row r="30" spans="2:12" x14ac:dyDescent="0.25">
      <c r="B30" s="64" t="s">
        <v>73</v>
      </c>
      <c r="C30" s="1" t="s">
        <v>69</v>
      </c>
      <c r="D30" s="114">
        <v>6.5</v>
      </c>
      <c r="E30" s="114">
        <v>1.00525</v>
      </c>
      <c r="F30" s="116"/>
      <c r="K30" s="204"/>
    </row>
    <row r="31" spans="2:12" x14ac:dyDescent="0.25">
      <c r="B31" s="64" t="s">
        <v>74</v>
      </c>
      <c r="C31" s="1" t="s">
        <v>52</v>
      </c>
      <c r="D31" s="118">
        <v>19.100000000000001</v>
      </c>
      <c r="E31" s="118">
        <v>20.3</v>
      </c>
      <c r="F31" s="119"/>
      <c r="K31" s="204"/>
    </row>
    <row r="32" spans="2:12" x14ac:dyDescent="0.25">
      <c r="B32" s="64" t="s">
        <v>75</v>
      </c>
      <c r="C32" s="1" t="s">
        <v>69</v>
      </c>
      <c r="D32" s="114">
        <v>6</v>
      </c>
      <c r="E32" s="114">
        <v>1.0049999999999999</v>
      </c>
      <c r="F32" s="116"/>
      <c r="K32" s="204"/>
    </row>
    <row r="33" spans="2:11" x14ac:dyDescent="0.25">
      <c r="B33" s="64" t="s">
        <v>76</v>
      </c>
      <c r="C33" s="1" t="s">
        <v>52</v>
      </c>
      <c r="D33" s="118">
        <v>20.6</v>
      </c>
      <c r="E33" s="118">
        <v>22.8</v>
      </c>
      <c r="F33" s="119"/>
      <c r="K33" s="204"/>
    </row>
    <row r="34" spans="2:11" x14ac:dyDescent="0.25">
      <c r="B34" s="64" t="s">
        <v>77</v>
      </c>
      <c r="C34" s="1" t="s">
        <v>69</v>
      </c>
      <c r="D34" s="114">
        <v>5.5</v>
      </c>
      <c r="E34" s="114">
        <v>1.00475</v>
      </c>
      <c r="F34" s="116"/>
      <c r="K34" s="204"/>
    </row>
    <row r="35" spans="2:11" x14ac:dyDescent="0.25">
      <c r="B35" s="64" t="s">
        <v>78</v>
      </c>
      <c r="C35" s="1" t="s">
        <v>52</v>
      </c>
      <c r="D35" s="118">
        <v>21.9</v>
      </c>
      <c r="E35" s="118">
        <v>23.7</v>
      </c>
      <c r="F35" s="119"/>
      <c r="K35" s="204"/>
    </row>
    <row r="36" spans="2:11" x14ac:dyDescent="0.25">
      <c r="B36" s="64" t="s">
        <v>79</v>
      </c>
      <c r="C36" s="1" t="s">
        <v>69</v>
      </c>
      <c r="D36" s="114">
        <v>5</v>
      </c>
      <c r="E36" s="114">
        <v>1.00325</v>
      </c>
      <c r="F36" s="116"/>
      <c r="K36" s="204"/>
    </row>
    <row r="37" spans="2:11" x14ac:dyDescent="0.25">
      <c r="B37" s="64" t="s">
        <v>80</v>
      </c>
      <c r="C37" s="1" t="s">
        <v>52</v>
      </c>
      <c r="D37" s="118">
        <v>23.3</v>
      </c>
      <c r="E37" s="118">
        <v>27.3</v>
      </c>
      <c r="F37" s="119"/>
      <c r="K37" s="204"/>
    </row>
    <row r="38" spans="2:11" x14ac:dyDescent="0.25">
      <c r="B38" s="64" t="s">
        <v>51</v>
      </c>
      <c r="C38" s="1" t="s">
        <v>69</v>
      </c>
      <c r="D38" s="55">
        <f>IF(SUMPRODUCT(--ISNUMBER(D$28:D$37))=10,IF(D$4="151H",ROUND(_xlfn.STDEV.S((D28+(7.784*0.000001*D29)+(4.959*0.000001*(D29)^2)),(D30+(7.784*0.000001*D31)+(4.959*0.000001*(D31)^2)),(D32+(7.784*0.000001*D33)+(4.959*0.000001*(D33)^2)),(D34+(7.784*0.000001*D35)+(4.959*0.000001*(D35)^2)),(D36+(7.784*0.000001*D37)+(4.959*0.000001*(D37)^2))),4),IF(D$4="152H",ROUND(_xlfn.STDEV.S((D28+(1.248*0.01*D29)+(7.95*0.001*(D29)^2)),(D30+(1.248*0.01*D31)+(7.95*0.001*(D31)^2)),(D32+(1.248*0.01*D33)+(7.95*0.001*(D33)^2)),(D34+(1.248*0.01*D35)+(7.95*0.001*(D35)^2)),(D36+(1.248*0.01*D37)+(7.95*0.001*(D37)^2))),1),"")),"")</f>
        <v>0.1</v>
      </c>
      <c r="E38" s="55">
        <f>IF(SUMPRODUCT(--ISNUMBER(E$28:E$37))=10,IF(E$4="151H",ROUND(_xlfn.STDEV.S((E28+(7.784*0.000001*E29)+(4.959*0.000001*(E29)^2)),(E30+(7.784*0.000001*E31)+(4.959*0.000001*(E31)^2)),(E32+(7.784*0.000001*E33)+(4.959*0.000001*(E33)^2)),(E34+(7.784*0.000001*E35)+(4.959*0.000001*(E35)^2)),(E36+(7.784*0.000001*E37)+(4.959*0.000001*(E37)^2))),4),IF(E$4="152H",ROUND(_xlfn.STDEV.S((E28+(1.248*0.01*E29)+(7.95*0.001*(E29)^2)),(E30+(1.248*0.01*E31)+(7.95*0.001*(E31)^2)),(E32+(1.248*0.01*E33)+(7.95*0.001*(E33)^2)),(E34+(1.248*0.01*E35)+(7.95*0.001*(E35)^2)),(E36+(1.248*0.01*E37)+(7.95*0.001*(E37)^2))),1),"")),"")</f>
        <v>1.3</v>
      </c>
      <c r="F38" s="65"/>
      <c r="K38" s="204"/>
    </row>
    <row r="39" spans="2:11" x14ac:dyDescent="0.25">
      <c r="B39" s="64" t="s">
        <v>176</v>
      </c>
      <c r="C39" s="1" t="s">
        <v>70</v>
      </c>
      <c r="D39" s="52">
        <f>IF(SUMPRODUCT(--ISNUMBER(D28:D37))=10,IF(D$4="151H",ROUND(AVERAGE((D28+(7.784*0.000001*D29)+(4.959*0.000001*(D29)^2)),(D30+(7.784*0.000001*D31)+(4.959*0.000001*(D31)^2)),(D32+(7.784*0.000001*D33)+(4.959*0.000001*(D33)^2)),(D34+(7.784*0.000001*D35)+(4.959*0.000001*(D35)^2)),(D36+(7.784*0.000001*D37)+(4.959*0.000001*(D37)^2))),4),ROUND(AVERAGE((D28+(1.248*0.01*D29)+(7.95*0.001*(D29)^2)),(D30+(1.248*0.01*D31)+(7.95*0.001*(D31)^2)),(D32+(1.248*0.01*D33)+(7.95*0.001*(D33)^2)),(D34+(1.248*0.01*D35)+(7.95*0.001*(D35)^2)),(D36+(1.248*0.01*D37)+(7.95*0.001*(D37)^2))),1)),"")</f>
        <v>9.6</v>
      </c>
      <c r="E39" s="52">
        <f>IF(SUMPRODUCT(--ISNUMBER(E28:E37))=10,IF(E$4="151H",ROUND(AVERAGE((E28+(7.784*0.000001*E29)+(4.959*0.000001*(E29)^2)),(E30+(7.784*0.000001*E31)+(4.959*0.000001*(E31)^2)),(E32+(7.784*0.000001*E33)+(4.959*0.000001*(E33)^2)),(E34+(7.784*0.000001*E35)+(4.959*0.000001*(E35)^2)),(E36+(7.784*0.000001*E37)+(4.959*0.000001*(E37)^2))),4),ROUND(AVERAGE((E28+(1.248*0.01*E29)+(7.95*0.001*(E29)^2)),(E30+(1.248*0.01*E31)+(7.95*0.001*(E31)^2)),(E32+(1.248*0.01*E33)+(7.95*0.001*(E33)^2)),(E34+(1.248*0.01*E35)+(7.95*0.001*(E35)^2)),(E36+(1.248*0.01*E37)+(7.95*0.001*(E37)^2))),1)),"")</f>
        <v>5.4</v>
      </c>
      <c r="F39" s="65"/>
      <c r="K39" s="204"/>
    </row>
    <row r="40" spans="2:11" x14ac:dyDescent="0.25">
      <c r="B40" s="62" t="s">
        <v>61</v>
      </c>
      <c r="C40" s="58"/>
      <c r="D40" s="56" t="s">
        <v>60</v>
      </c>
      <c r="E40" s="56" t="s">
        <v>60</v>
      </c>
      <c r="F40" s="66"/>
      <c r="K40" s="204"/>
    </row>
    <row r="41" spans="2:11" x14ac:dyDescent="0.25">
      <c r="B41" s="64" t="s">
        <v>26</v>
      </c>
      <c r="D41" s="120">
        <v>3</v>
      </c>
      <c r="E41" s="120">
        <v>0.99950000000000006</v>
      </c>
      <c r="F41" s="116"/>
      <c r="K41" s="204"/>
    </row>
    <row r="42" spans="2:11" x14ac:dyDescent="0.25">
      <c r="B42" s="64" t="s">
        <v>27</v>
      </c>
      <c r="D42" s="120">
        <v>7</v>
      </c>
      <c r="E42" s="120">
        <v>1</v>
      </c>
      <c r="F42" s="116"/>
      <c r="K42" s="204"/>
    </row>
    <row r="43" spans="2:11" x14ac:dyDescent="0.25">
      <c r="B43" s="64" t="s">
        <v>4</v>
      </c>
      <c r="D43" s="52">
        <f>D41-D42</f>
        <v>-4</v>
      </c>
      <c r="E43" s="52">
        <f>E41-E42</f>
        <v>-4.9999999999994493E-4</v>
      </c>
      <c r="F43" s="65"/>
      <c r="K43" s="204"/>
    </row>
    <row r="44" spans="2:11" x14ac:dyDescent="0.25">
      <c r="B44" s="62" t="s">
        <v>58</v>
      </c>
      <c r="C44" s="56" t="s">
        <v>43</v>
      </c>
      <c r="D44" s="56" t="s">
        <v>60</v>
      </c>
      <c r="E44" s="58"/>
      <c r="F44" s="66"/>
      <c r="K44" s="204"/>
    </row>
    <row r="45" spans="2:11" x14ac:dyDescent="0.25">
      <c r="B45" s="340" t="s">
        <v>59</v>
      </c>
      <c r="C45" s="339" t="s">
        <v>44</v>
      </c>
      <c r="D45" s="338">
        <v>1</v>
      </c>
      <c r="E45" s="338">
        <v>1</v>
      </c>
      <c r="F45" s="115"/>
      <c r="K45" s="204"/>
    </row>
    <row r="46" spans="2:11" x14ac:dyDescent="0.25">
      <c r="B46" s="340"/>
      <c r="C46" s="339"/>
      <c r="D46" s="338"/>
      <c r="E46" s="338"/>
      <c r="F46" s="115"/>
      <c r="K46" s="204"/>
    </row>
    <row r="47" spans="2:11" x14ac:dyDescent="0.25">
      <c r="B47" s="64" t="s">
        <v>37</v>
      </c>
      <c r="C47" s="1" t="s">
        <v>45</v>
      </c>
      <c r="D47" s="114">
        <v>0</v>
      </c>
      <c r="E47" s="114">
        <v>150</v>
      </c>
      <c r="F47" s="115"/>
      <c r="K47" s="204"/>
    </row>
    <row r="48" spans="2:11" x14ac:dyDescent="0.25">
      <c r="B48" s="64" t="s">
        <v>38</v>
      </c>
      <c r="C48" s="1" t="s">
        <v>45</v>
      </c>
      <c r="D48" s="114">
        <v>56</v>
      </c>
      <c r="E48" s="114">
        <v>204</v>
      </c>
      <c r="F48" s="115"/>
      <c r="I48" s="69"/>
      <c r="K48" s="204"/>
    </row>
    <row r="49" spans="2:11" x14ac:dyDescent="0.25">
      <c r="B49" s="64" t="s">
        <v>39</v>
      </c>
      <c r="C49" s="1" t="s">
        <v>231</v>
      </c>
      <c r="D49" s="114">
        <v>2</v>
      </c>
      <c r="E49" s="114">
        <v>150</v>
      </c>
      <c r="F49" s="115"/>
      <c r="I49" s="69"/>
      <c r="K49" s="204"/>
    </row>
    <row r="50" spans="2:11" x14ac:dyDescent="0.25">
      <c r="B50" s="64" t="s">
        <v>40</v>
      </c>
      <c r="C50" s="1" t="s">
        <v>231</v>
      </c>
      <c r="D50" s="114">
        <v>60</v>
      </c>
      <c r="E50" s="114">
        <v>206</v>
      </c>
      <c r="F50" s="115"/>
      <c r="K50" s="204"/>
    </row>
    <row r="51" spans="2:11" x14ac:dyDescent="0.25">
      <c r="B51" s="64" t="s">
        <v>41</v>
      </c>
      <c r="C51" s="1" t="s">
        <v>231</v>
      </c>
      <c r="D51" s="114">
        <v>0</v>
      </c>
      <c r="E51" s="114">
        <v>150</v>
      </c>
      <c r="F51" s="115"/>
      <c r="K51" s="204"/>
    </row>
    <row r="52" spans="2:11" x14ac:dyDescent="0.25">
      <c r="B52" s="64" t="s">
        <v>42</v>
      </c>
      <c r="C52" s="1" t="s">
        <v>231</v>
      </c>
      <c r="D52" s="114">
        <v>56</v>
      </c>
      <c r="E52" s="114">
        <v>204</v>
      </c>
      <c r="F52" s="115"/>
      <c r="K52" s="204"/>
    </row>
    <row r="53" spans="2:11" x14ac:dyDescent="0.25">
      <c r="B53" s="64" t="s">
        <v>0</v>
      </c>
      <c r="C53" s="1" t="s">
        <v>223</v>
      </c>
      <c r="D53" s="54">
        <f>IF(D$45=1,MROUND(AVERAGE((D$48-D$47),(D$50-D$49),(D$52-D$51)),1),MROUND(D$48-D$47,1))</f>
        <v>57</v>
      </c>
      <c r="E53" s="54">
        <f>IF(E$45=1,MROUND(AVERAGE((E$48-E$47),(E$50-E$49),(E$52-E$51)),1),MROUND(E$48-E$47,1))</f>
        <v>55</v>
      </c>
      <c r="F53" s="61"/>
      <c r="K53" s="204"/>
    </row>
    <row r="54" spans="2:11" x14ac:dyDescent="0.25">
      <c r="B54" s="64" t="s">
        <v>81</v>
      </c>
      <c r="C54" s="1"/>
      <c r="D54" s="55">
        <f>ROUND($D$53/2,1)</f>
        <v>28.5</v>
      </c>
      <c r="E54" s="55">
        <f>ROUND($E$53/2,1)</f>
        <v>27.5</v>
      </c>
      <c r="F54" s="61"/>
      <c r="K54" s="204"/>
    </row>
    <row r="55" spans="2:11" x14ac:dyDescent="0.25">
      <c r="B55" s="64" t="s">
        <v>1</v>
      </c>
      <c r="C55" s="1" t="s">
        <v>46</v>
      </c>
      <c r="D55" s="114">
        <v>174</v>
      </c>
      <c r="E55" s="114">
        <v>186</v>
      </c>
      <c r="F55" s="115"/>
      <c r="K55" s="204"/>
    </row>
    <row r="56" spans="2:11" ht="15.75" thickBot="1" x14ac:dyDescent="0.3">
      <c r="B56" s="67" t="s">
        <v>2</v>
      </c>
      <c r="C56" s="48" t="s">
        <v>46</v>
      </c>
      <c r="D56" s="121">
        <v>67.5</v>
      </c>
      <c r="E56" s="121">
        <v>70</v>
      </c>
      <c r="F56" s="122"/>
      <c r="K56" s="204"/>
    </row>
    <row r="57" spans="2:11" x14ac:dyDescent="0.25">
      <c r="B57" s="70"/>
      <c r="C57" s="70"/>
      <c r="D57" s="71"/>
      <c r="E57" s="71"/>
      <c r="F57" s="18"/>
      <c r="K57" s="204"/>
    </row>
    <row r="58" spans="2:11" x14ac:dyDescent="0.25">
      <c r="B58" s="1"/>
      <c r="C58" s="1"/>
      <c r="D58" s="69"/>
      <c r="E58" s="69"/>
      <c r="F58" s="1" t="s">
        <v>197</v>
      </c>
      <c r="K58" s="204"/>
    </row>
    <row r="59" spans="2:11" x14ac:dyDescent="0.25">
      <c r="B59" s="1"/>
      <c r="C59" s="1"/>
      <c r="D59" s="69"/>
      <c r="E59" s="69"/>
      <c r="K59" s="204"/>
    </row>
    <row r="60" spans="2:11" ht="15.75" thickBot="1" x14ac:dyDescent="0.3">
      <c r="B60" s="48"/>
      <c r="C60" s="48"/>
      <c r="D60" s="72"/>
      <c r="E60" s="72"/>
      <c r="F60" s="8"/>
      <c r="K60" s="204"/>
    </row>
    <row r="61" spans="2:11" x14ac:dyDescent="0.25">
      <c r="B61" s="332" t="s">
        <v>206</v>
      </c>
      <c r="C61" s="333"/>
      <c r="D61" s="333"/>
      <c r="E61" s="333"/>
      <c r="F61" s="334"/>
      <c r="K61" s="204"/>
    </row>
    <row r="62" spans="2:11" x14ac:dyDescent="0.25">
      <c r="B62" s="326" t="s">
        <v>91</v>
      </c>
      <c r="C62" s="327"/>
      <c r="D62" s="112"/>
      <c r="E62" s="112"/>
      <c r="F62" s="113"/>
      <c r="K62" s="204"/>
    </row>
    <row r="63" spans="2:11" x14ac:dyDescent="0.25">
      <c r="B63" s="205" t="s">
        <v>201</v>
      </c>
      <c r="C63" s="206"/>
      <c r="D63" s="106"/>
      <c r="E63" s="106"/>
      <c r="F63" s="107"/>
      <c r="K63" s="204"/>
    </row>
    <row r="64" spans="2:11" x14ac:dyDescent="0.25">
      <c r="B64" s="205" t="s">
        <v>202</v>
      </c>
      <c r="C64" s="206"/>
      <c r="D64" s="104" t="s">
        <v>224</v>
      </c>
      <c r="E64" s="104" t="s">
        <v>224</v>
      </c>
      <c r="F64" s="105"/>
      <c r="K64" s="204"/>
    </row>
    <row r="65" spans="2:11" x14ac:dyDescent="0.25">
      <c r="B65" s="330" t="s">
        <v>203</v>
      </c>
      <c r="C65" s="331"/>
      <c r="D65" s="108"/>
      <c r="E65" s="108"/>
      <c r="F65" s="109"/>
      <c r="K65" s="204"/>
    </row>
    <row r="66" spans="2:11" x14ac:dyDescent="0.25">
      <c r="B66" s="62" t="s">
        <v>62</v>
      </c>
      <c r="C66" s="56" t="s">
        <v>43</v>
      </c>
      <c r="D66" s="56" t="s">
        <v>60</v>
      </c>
      <c r="E66" s="56" t="s">
        <v>60</v>
      </c>
      <c r="F66" s="66"/>
      <c r="K66" s="204"/>
    </row>
    <row r="67" spans="2:11" x14ac:dyDescent="0.25">
      <c r="B67" s="64" t="s">
        <v>54</v>
      </c>
      <c r="C67" s="1"/>
      <c r="D67" s="114"/>
      <c r="E67" s="114"/>
      <c r="F67" s="116"/>
      <c r="K67" s="204"/>
    </row>
    <row r="68" spans="2:11" x14ac:dyDescent="0.25">
      <c r="B68" s="64" t="s">
        <v>53</v>
      </c>
      <c r="C68" s="1" t="s">
        <v>55</v>
      </c>
      <c r="D68" s="117"/>
      <c r="E68" s="117"/>
      <c r="F68" s="116"/>
      <c r="K68" s="204"/>
    </row>
    <row r="69" spans="2:11" ht="15.75" thickBot="1" x14ac:dyDescent="0.3">
      <c r="B69" s="68" t="s">
        <v>67</v>
      </c>
      <c r="C69" s="197" t="s">
        <v>66</v>
      </c>
      <c r="D69" s="199" t="str">
        <f ca="1">IF(AND(ISNUMBER(D$67),ISNUMBER(D$68)),IF(AND(IF(D$68&lt;40,D$68,(D$68-32)*5/9)&gt;=15,IF(D$68&lt;40,D$68,(D$68-32)*5/9)&lt;=30.9),IF(D$4="151H",ROUND(D$67*INDEX('Water Density'!$C$5:$C$164,MATCH(20,'Water Density'!$B$5:$B$164)+1,1)/FORECAST(IF(D$68&lt;40,D$68,(D$68-32)*5/9),OFFSET('Water Density'!$C$5:$C$164,MATCH(IF(D$68&lt;40,D$68,(D$68-32)*5/9),'Water Density'!$B$5:$B$164,1)-1,0,2),OFFSET('Water Density'!$B$5:$B$164,MATCH(IF(D$68&lt;40,D$68,(D$68-32)*5/9),'Water Density'!$B$5:$B$164,1)-1,0,2)),5), IF(D$4="152H",ROUND(D$67+(1606*(INDEX('Water Density'!$C$5:$C$164,MATCH(20,'Water Density'!$B$5:$B$164)+1,1)-FORECAST(IF(D$68&lt;40,D$68,(D$68-32)*5/9),OFFSET('Water Density'!$C$5:$C$164,MATCH(IF(D$68&lt;40,D$68,(D$68-32)*5/9),'Water Density'!$B$5:$B$164,1)-1,0,2),OFFSET('Water Density'!$B$5:$B$164,MATCH(IF(D$68&lt;40,D$68,(D$68-32)*5/9),'Water Density'!$B$5:$B$164,1)-1,0,2)))),2))),"Out of Range"),"")</f>
        <v/>
      </c>
      <c r="E69" s="199" t="str">
        <f ca="1">IF(AND(ISNUMBER(E$67),ISNUMBER(E$68)),IF(AND(IF(E$68&lt;40,E$68,(E$68-32)*5/9)&gt;=15,IF(E$68&lt;40,E$68,(E$68-32)*5/9)&lt;=30.9),IF(E$4="151H",ROUND(E$67*INDEX('Water Density'!$C$5:$C$164,MATCH(20,'Water Density'!$B$5:$B$164)+1,1)/FORECAST(IF(E$68&lt;40,E$68,(E$68-32)*5/9),OFFSET('Water Density'!$C$5:$C$164,MATCH(IF(E$68&lt;40,E$68,(E$68-32)*5/9),'Water Density'!$B$5:$B$164,1)-1,0,2),OFFSET('Water Density'!$B$5:$B$164,MATCH(IF(E$68&lt;40,E$68,(E$68-32)*5/9),'Water Density'!$B$5:$B$164,1)-1,0,2)),5), IF(E$4="152H",ROUND(E$67+(1606*(INDEX('Water Density'!$C$5:$C$164,MATCH(20,'Water Density'!$B$5:$B$164)+1,1)-FORECAST(IF(E$68&lt;40,E$68,(E$68-32)*5/9),OFFSET('Water Density'!$C$5:$C$164,MATCH(IF(E$68&lt;40,E$68,(E$68-32)*5/9),'Water Density'!$B$5:$B$164,1)-1,0,2),OFFSET('Water Density'!$B$5:$B$164,MATCH(IF(E$68&lt;40,E$68,(E$68-32)*5/9),'Water Density'!$B$5:$B$164,1)-1,0,2)))),2))),"Out of Range"),"")</f>
        <v/>
      </c>
      <c r="F69" s="198"/>
      <c r="K69" s="204"/>
    </row>
    <row r="70" spans="2:11" ht="15.75" thickTop="1" x14ac:dyDescent="0.25">
      <c r="B70" s="326" t="s">
        <v>91</v>
      </c>
      <c r="C70" s="327"/>
      <c r="D70" s="112"/>
      <c r="E70" s="112"/>
      <c r="F70" s="113"/>
      <c r="K70" s="204"/>
    </row>
    <row r="71" spans="2:11" x14ac:dyDescent="0.25">
      <c r="B71" s="205" t="s">
        <v>201</v>
      </c>
      <c r="C71" s="206"/>
      <c r="D71" s="106"/>
      <c r="E71" s="106"/>
      <c r="F71" s="107"/>
      <c r="K71" s="204"/>
    </row>
    <row r="72" spans="2:11" x14ac:dyDescent="0.25">
      <c r="B72" s="205" t="s">
        <v>202</v>
      </c>
      <c r="C72" s="206"/>
      <c r="D72" s="104" t="s">
        <v>224</v>
      </c>
      <c r="E72" s="104" t="s">
        <v>224</v>
      </c>
      <c r="F72" s="105"/>
      <c r="K72" s="204"/>
    </row>
    <row r="73" spans="2:11" x14ac:dyDescent="0.25">
      <c r="B73" s="330" t="s">
        <v>203</v>
      </c>
      <c r="C73" s="331"/>
      <c r="D73" s="108"/>
      <c r="E73" s="108"/>
      <c r="F73" s="109"/>
      <c r="G73" s="1"/>
      <c r="K73" s="204"/>
    </row>
    <row r="74" spans="2:11" x14ac:dyDescent="0.25">
      <c r="B74" s="62" t="s">
        <v>62</v>
      </c>
      <c r="C74" s="56" t="s">
        <v>43</v>
      </c>
      <c r="D74" s="56" t="s">
        <v>60</v>
      </c>
      <c r="E74" s="56" t="s">
        <v>60</v>
      </c>
      <c r="F74" s="66"/>
      <c r="G74" s="4"/>
    </row>
    <row r="75" spans="2:11" x14ac:dyDescent="0.25">
      <c r="B75" s="64" t="s">
        <v>54</v>
      </c>
      <c r="C75" s="1"/>
      <c r="D75" s="114"/>
      <c r="E75" s="114"/>
      <c r="F75" s="116"/>
      <c r="G75" s="4"/>
    </row>
    <row r="76" spans="2:11" x14ac:dyDescent="0.25">
      <c r="B76" s="64" t="s">
        <v>53</v>
      </c>
      <c r="C76" s="1" t="s">
        <v>55</v>
      </c>
      <c r="D76" s="117"/>
      <c r="E76" s="117"/>
      <c r="F76" s="116"/>
      <c r="G76" s="4"/>
    </row>
    <row r="77" spans="2:11" ht="15.75" thickBot="1" x14ac:dyDescent="0.3">
      <c r="B77" s="68" t="s">
        <v>67</v>
      </c>
      <c r="C77" s="197" t="s">
        <v>66</v>
      </c>
      <c r="D77" s="199" t="str">
        <f ca="1">IF(AND(ISNUMBER(D$75),ISNUMBER(D$76)),IF(AND(IF(D$76&lt;40,D$76,(D$76-32)*5/9)&gt;=15,IF(D$76&lt;40,D$76,(D$76-32)*5/9)&lt;=30.9),IF(D$4="151H",ROUND(D$75*INDEX('Water Density'!$C$5:$C$164,MATCH(20,'Water Density'!$B$5:$B$164)+1,1)/FORECAST(IF(D$76&lt;40,D$76,(D$76-32)*5/9),OFFSET('Water Density'!$C$5:$C$164,MATCH(IF(D$76&lt;40,D$76,(D$76-32)*5/9),'Water Density'!$B$5:$B$164,1)-1,0,2),OFFSET('Water Density'!$B$5:$B$164,MATCH(IF(D$76&lt;40,D$76,(D$76-32)*5/9),'Water Density'!$B$5:$B$164,1)-1,0,2)),5),IF(D$4="152H",ROUND(D$75+(1606*(INDEX('Water Density'!$C$5:$C$164,MATCH(20,'Water Density'!$B$5:$B$164)+1,1)/FORECAST(IF(D$76&lt;40,D$76,(D$76-32)*5/9),OFFSET('Water Density'!$C$5:$C$164,MATCH(IF(D$76&lt;40,D$76,(D$76-32)*5/9),'Water Density'!$B$5:$B$164,1)-1,0,2),OFFSET('Water Density'!$B$5:$B$164,MATCH(IF(D$76&lt;40,D$76,(D$76-32)*5/9),'Water Density'!$B$5:$B$164,1)-1,0,2)))),2))),"Out of Range"),"")</f>
        <v/>
      </c>
      <c r="E77" s="199" t="str">
        <f ca="1">IF(AND(ISNUMBER(E$75),ISNUMBER(E$76)),IF(AND(IF(E$76&lt;40,E$76,(E$76-32)*5/9)&gt;=15,IF(E$76&lt;40,E$76,(E$76-32)*5/9)&lt;=30.9),IF(E$4="151H",ROUND(E$75*INDEX('Water Density'!$C$5:$C$164,MATCH(20,'Water Density'!$B$5:$B$164)+1,1)/FORECAST(IF(E$76&lt;40,E$76,(E$76-32)*5/9),OFFSET('Water Density'!$C$5:$C$164,MATCH(IF(E$76&lt;40,E$76,(E$76-32)*5/9),'Water Density'!$B$5:$B$164,1)-1,0,2),OFFSET('Water Density'!$B$5:$B$164,MATCH(IF(E$76&lt;40,E$76,(E$76-32)*5/9),'Water Density'!$B$5:$B$164,1)-1,0,2)),5),IF(E$4="152H",ROUND(E$75+(1606*(INDEX('Water Density'!$C$5:$C$164,MATCH(20,'Water Density'!$B$5:$B$164)+1,1)/FORECAST(IF(E$76&lt;40,E$76,(E$76-32)*5/9),OFFSET('Water Density'!$C$5:$C$164,MATCH(IF(E$76&lt;40,E$76,(E$76-32)*5/9),'Water Density'!$B$5:$B$164,1)-1,0,2),OFFSET('Water Density'!$B$5:$B$164,MATCH(IF(E$76&lt;40,E$76,(E$76-32)*5/9),'Water Density'!$B$5:$B$164,1)-1,0,2)))),2))),"Out of Range"),"")</f>
        <v/>
      </c>
      <c r="F77" s="198"/>
      <c r="G77" s="4"/>
    </row>
    <row r="78" spans="2:11" ht="15.75" thickTop="1" x14ac:dyDescent="0.25">
      <c r="F78" s="6"/>
      <c r="G78" s="4"/>
    </row>
    <row r="79" spans="2:11" x14ac:dyDescent="0.25">
      <c r="B79" s="5"/>
      <c r="F79" s="6"/>
      <c r="G79" s="4"/>
    </row>
    <row r="80" spans="2:11" x14ac:dyDescent="0.25">
      <c r="B80" s="4"/>
      <c r="F80" s="1"/>
      <c r="G80" s="5"/>
    </row>
    <row r="81" spans="6:7" x14ac:dyDescent="0.25">
      <c r="F81" s="1"/>
      <c r="G81" s="4"/>
    </row>
    <row r="104" spans="2:6" x14ac:dyDescent="0.25">
      <c r="B104" t="s">
        <v>199</v>
      </c>
      <c r="C104" s="60">
        <v>45875</v>
      </c>
      <c r="F104" s="1" t="s">
        <v>198</v>
      </c>
    </row>
  </sheetData>
  <sheetProtection sheet="1" selectLockedCells="1"/>
  <mergeCells count="23">
    <mergeCell ref="B5:F5"/>
    <mergeCell ref="B61:F61"/>
    <mergeCell ref="B2:F2"/>
    <mergeCell ref="B6:C6"/>
    <mergeCell ref="B7:C7"/>
    <mergeCell ref="B8:C8"/>
    <mergeCell ref="B9:C9"/>
    <mergeCell ref="B10:C10"/>
    <mergeCell ref="B11:C11"/>
    <mergeCell ref="D45:D46"/>
    <mergeCell ref="E45:E46"/>
    <mergeCell ref="C45:C46"/>
    <mergeCell ref="B45:B46"/>
    <mergeCell ref="B3:C3"/>
    <mergeCell ref="B4:C4"/>
    <mergeCell ref="B72:C72"/>
    <mergeCell ref="B73:C73"/>
    <mergeCell ref="B62:C62"/>
    <mergeCell ref="B63:C63"/>
    <mergeCell ref="B64:C64"/>
    <mergeCell ref="B65:C65"/>
    <mergeCell ref="B71:C71"/>
    <mergeCell ref="B70:C70"/>
  </mergeCells>
  <conditionalFormatting sqref="D25">
    <cfRule type="expression" dxfId="31" priority="45">
      <formula>AND(D$25&lt;15,D$25&gt;30.9)</formula>
    </cfRule>
  </conditionalFormatting>
  <conditionalFormatting sqref="D47:D48">
    <cfRule type="expression" priority="3" stopIfTrue="1">
      <formula>$D$45=2</formula>
    </cfRule>
  </conditionalFormatting>
  <conditionalFormatting sqref="D47:D52">
    <cfRule type="expression" dxfId="30" priority="2">
      <formula>$D$45=1</formula>
    </cfRule>
  </conditionalFormatting>
  <conditionalFormatting sqref="D49:D52">
    <cfRule type="expression" dxfId="29" priority="5">
      <formula>$D$45=2</formula>
    </cfRule>
  </conditionalFormatting>
  <conditionalFormatting sqref="D68">
    <cfRule type="expression" dxfId="28" priority="31">
      <formula>AND(D$25&lt;15,D$25&gt;30.9)</formula>
    </cfRule>
  </conditionalFormatting>
  <conditionalFormatting sqref="D76">
    <cfRule type="expression" dxfId="27" priority="16">
      <formula>AND(D$25&lt;15,D$25&gt;30.9)</formula>
    </cfRule>
  </conditionalFormatting>
  <conditionalFormatting sqref="D13:E13">
    <cfRule type="expression" dxfId="26" priority="37">
      <formula>OR(D$13&lt;275,D$13&gt;285)</formula>
    </cfRule>
  </conditionalFormatting>
  <conditionalFormatting sqref="D14:E14">
    <cfRule type="expression" dxfId="25" priority="84">
      <formula>OR(D$14&lt;243,D$14&gt;247)</formula>
    </cfRule>
  </conditionalFormatting>
  <conditionalFormatting sqref="D16:E16">
    <cfRule type="expression" dxfId="24" priority="35">
      <formula>OR(D$16&lt;29,D$16&gt;32)</formula>
    </cfRule>
  </conditionalFormatting>
  <conditionalFormatting sqref="D17:E17">
    <cfRule type="expression" dxfId="23" priority="81">
      <formula>OR(D$17&lt;58,D$17&gt;71)</formula>
    </cfRule>
  </conditionalFormatting>
  <conditionalFormatting sqref="D18:E18">
    <cfRule type="expression" dxfId="22" priority="49">
      <formula>OR(D$18&lt;81,D$18&gt;85)</formula>
    </cfRule>
  </conditionalFormatting>
  <conditionalFormatting sqref="D19:E19">
    <cfRule type="expression" dxfId="21" priority="48">
      <formula>D$19&lt;=15</formula>
    </cfRule>
  </conditionalFormatting>
  <conditionalFormatting sqref="D20:E20">
    <cfRule type="expression" dxfId="20" priority="47">
      <formula>D$20&lt;=3</formula>
    </cfRule>
  </conditionalFormatting>
  <conditionalFormatting sqref="D24:E24">
    <cfRule type="expression" dxfId="19" priority="24">
      <formula>D$4="151H"</formula>
    </cfRule>
  </conditionalFormatting>
  <conditionalFormatting sqref="D26:E26">
    <cfRule type="expression" dxfId="18" priority="23">
      <formula>D$4="151H"</formula>
    </cfRule>
    <cfRule type="expression" dxfId="17" priority="350">
      <formula>OR(AND(D$4="151H",OR(D$26&lt;0.999,D$26&gt;1.001)),AND(D$4="152H",OR(D$26&lt;-1, D$26&gt;1)))</formula>
    </cfRule>
  </conditionalFormatting>
  <conditionalFormatting sqref="D28:E28">
    <cfRule type="expression" dxfId="16" priority="357">
      <formula>AND(D$4="151H",OR(D$28&lt;0.995,D$28&gt;1.038))</formula>
    </cfRule>
  </conditionalFormatting>
  <conditionalFormatting sqref="D30:E30">
    <cfRule type="expression" dxfId="15" priority="354">
      <formula>AND(D$4="151H",OR(D$30&lt;0.995,D$30&gt;1.038))</formula>
    </cfRule>
  </conditionalFormatting>
  <conditionalFormatting sqref="D32:E32">
    <cfRule type="expression" dxfId="14" priority="353">
      <formula>AND(D$4="151H",OR(D$32&lt;0.995,D$32&gt;1.038))</formula>
    </cfRule>
  </conditionalFormatting>
  <conditionalFormatting sqref="D34:E34">
    <cfRule type="expression" dxfId="13" priority="352">
      <formula>AND(D$4="151H",OR(D$34&lt;0.995,D$34&gt;1.038))</formula>
    </cfRule>
  </conditionalFormatting>
  <conditionalFormatting sqref="D36:E36">
    <cfRule type="expression" dxfId="12" priority="351">
      <formula>AND(D$4="151H",OR(D$36&lt;0.995,D$36&gt;1.038))</formula>
    </cfRule>
  </conditionalFormatting>
  <conditionalFormatting sqref="D38:E38">
    <cfRule type="expression" dxfId="11" priority="355">
      <formula>AND(D$4="152H",D$38&gt;=0.5)</formula>
    </cfRule>
    <cfRule type="expression" dxfId="10" priority="356">
      <formula>AND(D$4="151H",D$38&gt;=0.0005)</formula>
    </cfRule>
  </conditionalFormatting>
  <conditionalFormatting sqref="D53:E53">
    <cfRule type="expression" dxfId="9" priority="34">
      <formula>OR(D$53&lt;50,D$53&gt;72)</formula>
    </cfRule>
  </conditionalFormatting>
  <conditionalFormatting sqref="D67:E67">
    <cfRule type="expression" dxfId="8" priority="22">
      <formula>D$4="151H"</formula>
    </cfRule>
  </conditionalFormatting>
  <conditionalFormatting sqref="D69:E69">
    <cfRule type="expression" dxfId="7" priority="358">
      <formula>D$4="151H"</formula>
    </cfRule>
    <cfRule type="expression" dxfId="6" priority="359">
      <formula>OR(AND(D$4="151H",OR(D$69&lt;0.999,D$69&gt;1.001)),AND(D$4="152H",OR(D$69&lt;-1, D$69&gt;1)))</formula>
    </cfRule>
  </conditionalFormatting>
  <conditionalFormatting sqref="D75:E75">
    <cfRule type="expression" dxfId="5" priority="15">
      <formula>D$4="151H"</formula>
    </cfRule>
  </conditionalFormatting>
  <conditionalFormatting sqref="D77:E77">
    <cfRule type="expression" dxfId="4" priority="361">
      <formula>OR(AND(D$4="151H",OR(D$77&lt;0.999,D$77&gt;1.001)),AND(D$4="152H",OR(D$77&lt;-1, D$77&gt;1)))</formula>
    </cfRule>
    <cfRule type="expression" dxfId="3" priority="360">
      <formula>D$4="151H"</formula>
    </cfRule>
  </conditionalFormatting>
  <conditionalFormatting sqref="E47:E48">
    <cfRule type="expression" priority="9" stopIfTrue="1">
      <formula>$E$45=2</formula>
    </cfRule>
  </conditionalFormatting>
  <conditionalFormatting sqref="E47:E52">
    <cfRule type="expression" dxfId="2" priority="86">
      <formula>MAX(E$48-E$47, E$50-E$49, E$52-E$51) - MIN(E$48-E$47, E$50-E$49, E$52-E$51) &gt; 2</formula>
    </cfRule>
    <cfRule type="expression" dxfId="1" priority="1">
      <formula>$E$45=1</formula>
    </cfRule>
  </conditionalFormatting>
  <conditionalFormatting sqref="E49:E52">
    <cfRule type="expression" dxfId="0" priority="4">
      <formula>$E$45=2</formula>
    </cfRule>
  </conditionalFormatting>
  <dataValidations disablePrompts="1" count="1">
    <dataValidation type="list" allowBlank="1" showInputMessage="1" showErrorMessage="1" sqref="D4:F4" xr:uid="{5DCD5C95-B440-474C-AF8C-C06B9FAA0AB5}">
      <formula1>"151H,152H"</formula1>
    </dataValidation>
  </dataValidations>
  <pageMargins left="0.7" right="0.7" top="0.75" bottom="0.75" header="0.3" footer="0.3"/>
  <pageSetup scale="53" orientation="portrait" r:id="rId1"/>
  <rowBreaks count="1" manualBreakCount="1">
    <brk id="59" max="6" man="1"/>
  </rowBreaks>
  <colBreaks count="1" manualBreakCount="1">
    <brk id="9" max="120" man="1"/>
  </colBreaks>
  <drawing r:id="rId2"/>
  <legacyDrawing r:id="rId3"/>
  <mc:AlternateContent xmlns:mc="http://schemas.openxmlformats.org/markup-compatibility/2006">
    <mc:Choice Requires="x14">
      <controls>
        <mc:AlternateContent xmlns:mc="http://schemas.openxmlformats.org/markup-compatibility/2006">
          <mc:Choice Requires="x14">
            <control shapeId="2070" r:id="rId4" name="Group Box 22">
              <controlPr defaultSize="0" autoFill="0" autoPict="0">
                <anchor moveWithCells="1">
                  <from>
                    <xdr:col>2</xdr:col>
                    <xdr:colOff>2619375</xdr:colOff>
                    <xdr:row>44</xdr:row>
                    <xdr:rowOff>0</xdr:rowOff>
                  </from>
                  <to>
                    <xdr:col>4</xdr:col>
                    <xdr:colOff>0</xdr:colOff>
                    <xdr:row>46</xdr:row>
                    <xdr:rowOff>0</xdr:rowOff>
                  </to>
                </anchor>
              </controlPr>
            </control>
          </mc:Choice>
        </mc:AlternateContent>
        <mc:AlternateContent xmlns:mc="http://schemas.openxmlformats.org/markup-compatibility/2006">
          <mc:Choice Requires="x14">
            <control shapeId="2071" r:id="rId5" name="Option Button 23">
              <controlPr defaultSize="0" autoFill="0" autoLine="0" autoPict="0">
                <anchor moveWithCells="1">
                  <from>
                    <xdr:col>3</xdr:col>
                    <xdr:colOff>38100</xdr:colOff>
                    <xdr:row>44</xdr:row>
                    <xdr:rowOff>38100</xdr:rowOff>
                  </from>
                  <to>
                    <xdr:col>3</xdr:col>
                    <xdr:colOff>1190625</xdr:colOff>
                    <xdr:row>44</xdr:row>
                    <xdr:rowOff>180975</xdr:rowOff>
                  </to>
                </anchor>
              </controlPr>
            </control>
          </mc:Choice>
        </mc:AlternateContent>
        <mc:AlternateContent xmlns:mc="http://schemas.openxmlformats.org/markup-compatibility/2006">
          <mc:Choice Requires="x14">
            <control shapeId="2072" r:id="rId6" name="Option Button 24">
              <controlPr defaultSize="0" autoFill="0" autoLine="0" autoPict="0">
                <anchor moveWithCells="1">
                  <from>
                    <xdr:col>3</xdr:col>
                    <xdr:colOff>28575</xdr:colOff>
                    <xdr:row>45</xdr:row>
                    <xdr:rowOff>9525</xdr:rowOff>
                  </from>
                  <to>
                    <xdr:col>3</xdr:col>
                    <xdr:colOff>1190625</xdr:colOff>
                    <xdr:row>45</xdr:row>
                    <xdr:rowOff>171450</xdr:rowOff>
                  </to>
                </anchor>
              </controlPr>
            </control>
          </mc:Choice>
        </mc:AlternateContent>
        <mc:AlternateContent xmlns:mc="http://schemas.openxmlformats.org/markup-compatibility/2006">
          <mc:Choice Requires="x14">
            <control shapeId="2094" r:id="rId7" name="Group Box 46">
              <controlPr defaultSize="0" autoFill="0" autoPict="0">
                <anchor moveWithCells="1">
                  <from>
                    <xdr:col>3</xdr:col>
                    <xdr:colOff>1209675</xdr:colOff>
                    <xdr:row>44</xdr:row>
                    <xdr:rowOff>0</xdr:rowOff>
                  </from>
                  <to>
                    <xdr:col>5</xdr:col>
                    <xdr:colOff>0</xdr:colOff>
                    <xdr:row>46</xdr:row>
                    <xdr:rowOff>0</xdr:rowOff>
                  </to>
                </anchor>
              </controlPr>
            </control>
          </mc:Choice>
        </mc:AlternateContent>
        <mc:AlternateContent xmlns:mc="http://schemas.openxmlformats.org/markup-compatibility/2006">
          <mc:Choice Requires="x14">
            <control shapeId="2095" r:id="rId8" name="Option Button 47">
              <controlPr defaultSize="0" autoFill="0" autoLine="0" autoPict="0">
                <anchor moveWithCells="1">
                  <from>
                    <xdr:col>4</xdr:col>
                    <xdr:colOff>19050</xdr:colOff>
                    <xdr:row>44</xdr:row>
                    <xdr:rowOff>28575</xdr:rowOff>
                  </from>
                  <to>
                    <xdr:col>4</xdr:col>
                    <xdr:colOff>1190625</xdr:colOff>
                    <xdr:row>44</xdr:row>
                    <xdr:rowOff>180975</xdr:rowOff>
                  </to>
                </anchor>
              </controlPr>
            </control>
          </mc:Choice>
        </mc:AlternateContent>
        <mc:AlternateContent xmlns:mc="http://schemas.openxmlformats.org/markup-compatibility/2006">
          <mc:Choice Requires="x14">
            <control shapeId="2096" r:id="rId9" name="Option Button 48">
              <controlPr defaultSize="0" autoFill="0" autoLine="0" autoPict="0">
                <anchor moveWithCells="1">
                  <from>
                    <xdr:col>4</xdr:col>
                    <xdr:colOff>19050</xdr:colOff>
                    <xdr:row>45</xdr:row>
                    <xdr:rowOff>9525</xdr:rowOff>
                  </from>
                  <to>
                    <xdr:col>4</xdr:col>
                    <xdr:colOff>1190625</xdr:colOff>
                    <xdr:row>45</xdr:row>
                    <xdr:rowOff>152400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DAB61-A96F-40FA-9106-A67EFC90CF43}">
  <dimension ref="B1:E17"/>
  <sheetViews>
    <sheetView topLeftCell="A3" zoomScaleNormal="100" workbookViewId="0">
      <selection activeCell="C5" sqref="C5"/>
    </sheetView>
  </sheetViews>
  <sheetFormatPr defaultRowHeight="15" x14ac:dyDescent="0.25"/>
  <cols>
    <col min="2" max="2" width="30" customWidth="1"/>
    <col min="3" max="3" width="25.85546875" customWidth="1"/>
    <col min="4" max="4" width="18" customWidth="1"/>
    <col min="5" max="5" width="2" bestFit="1" customWidth="1"/>
  </cols>
  <sheetData>
    <row r="1" spans="2:5" ht="15.75" thickBot="1" x14ac:dyDescent="0.3"/>
    <row r="2" spans="2:5" ht="21.75" thickBot="1" x14ac:dyDescent="0.4">
      <c r="B2" s="344" t="s">
        <v>113</v>
      </c>
      <c r="C2" s="345"/>
      <c r="D2" s="345"/>
      <c r="E2" s="346"/>
    </row>
    <row r="3" spans="2:5" ht="15" customHeight="1" x14ac:dyDescent="0.25">
      <c r="B3" s="342" t="s">
        <v>114</v>
      </c>
      <c r="C3" s="343"/>
      <c r="D3" s="347" t="s">
        <v>134</v>
      </c>
      <c r="E3" s="348"/>
    </row>
    <row r="4" spans="2:5" ht="15.75" thickBot="1" x14ac:dyDescent="0.3">
      <c r="B4" s="19" t="s">
        <v>112</v>
      </c>
      <c r="C4" s="20" t="s">
        <v>121</v>
      </c>
      <c r="D4" s="349"/>
      <c r="E4" s="350"/>
    </row>
    <row r="5" spans="2:5" x14ac:dyDescent="0.25">
      <c r="B5" s="22" t="s">
        <v>115</v>
      </c>
      <c r="C5" s="17">
        <v>152.4</v>
      </c>
      <c r="D5" s="18">
        <v>500000</v>
      </c>
      <c r="E5" s="23" t="s">
        <v>7</v>
      </c>
    </row>
    <row r="6" spans="2:5" x14ac:dyDescent="0.25">
      <c r="B6" s="24" t="s">
        <v>116</v>
      </c>
      <c r="C6" s="6">
        <v>76.2</v>
      </c>
      <c r="D6">
        <v>70000</v>
      </c>
      <c r="E6" s="7" t="s">
        <v>7</v>
      </c>
    </row>
    <row r="7" spans="2:5" x14ac:dyDescent="0.25">
      <c r="B7" s="24" t="s">
        <v>117</v>
      </c>
      <c r="C7" s="6">
        <v>25.4</v>
      </c>
      <c r="D7">
        <v>3000</v>
      </c>
      <c r="E7" s="7" t="s">
        <v>7</v>
      </c>
    </row>
    <row r="8" spans="2:5" x14ac:dyDescent="0.25">
      <c r="B8" s="24" t="s">
        <v>118</v>
      </c>
      <c r="C8" s="6">
        <v>19.100000000000001</v>
      </c>
      <c r="D8">
        <v>1300</v>
      </c>
      <c r="E8" s="7" t="s">
        <v>7</v>
      </c>
    </row>
    <row r="9" spans="2:5" x14ac:dyDescent="0.25">
      <c r="B9" s="24" t="s">
        <v>119</v>
      </c>
      <c r="C9" s="6">
        <v>9.5</v>
      </c>
      <c r="D9">
        <v>165</v>
      </c>
      <c r="E9" s="7" t="s">
        <v>7</v>
      </c>
    </row>
    <row r="10" spans="2:5" ht="15.75" thickBot="1" x14ac:dyDescent="0.3">
      <c r="B10" s="25" t="s">
        <v>120</v>
      </c>
      <c r="C10" s="10">
        <v>2</v>
      </c>
      <c r="D10" s="8">
        <v>50</v>
      </c>
      <c r="E10" s="9" t="s">
        <v>7</v>
      </c>
    </row>
    <row r="12" spans="2:5" x14ac:dyDescent="0.25">
      <c r="B12" t="s">
        <v>199</v>
      </c>
      <c r="C12" s="60">
        <v>43892</v>
      </c>
      <c r="D12" s="305" t="s">
        <v>212</v>
      </c>
      <c r="E12" s="305"/>
    </row>
    <row r="17" spans="4:4" x14ac:dyDescent="0.25">
      <c r="D17" s="21"/>
    </row>
  </sheetData>
  <sheetProtection sheet="1" objects="1" scenarios="1" selectLockedCells="1"/>
  <mergeCells count="4">
    <mergeCell ref="B3:C3"/>
    <mergeCell ref="B2:E2"/>
    <mergeCell ref="D3:E4"/>
    <mergeCell ref="D12:E12"/>
  </mergeCells>
  <pageMargins left="0.7" right="0.7" top="0.75" bottom="0.75" header="0.3" footer="0.3"/>
  <pageSetup scale="9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750BE-DD0D-4F5E-8521-FBD398FF9425}">
  <dimension ref="B1:E167"/>
  <sheetViews>
    <sheetView zoomScaleNormal="100" workbookViewId="0">
      <selection activeCell="E6" sqref="E6"/>
    </sheetView>
  </sheetViews>
  <sheetFormatPr defaultRowHeight="15" x14ac:dyDescent="0.25"/>
  <cols>
    <col min="2" max="2" width="23.42578125" customWidth="1"/>
    <col min="3" max="3" width="33.7109375" customWidth="1"/>
  </cols>
  <sheetData>
    <row r="1" spans="2:3" ht="15.75" thickBot="1" x14ac:dyDescent="0.3"/>
    <row r="2" spans="2:3" ht="15.75" thickBot="1" x14ac:dyDescent="0.3">
      <c r="B2" s="283" t="s">
        <v>56</v>
      </c>
      <c r="C2" s="285"/>
    </row>
    <row r="3" spans="2:3" ht="15.75" thickBot="1" x14ac:dyDescent="0.3">
      <c r="B3" s="283" t="s">
        <v>172</v>
      </c>
      <c r="C3" s="285"/>
    </row>
    <row r="4" spans="2:3" ht="15.75" thickBot="1" x14ac:dyDescent="0.3">
      <c r="B4" s="37" t="s">
        <v>57</v>
      </c>
      <c r="C4" s="38" t="s">
        <v>230</v>
      </c>
    </row>
    <row r="5" spans="2:3" x14ac:dyDescent="0.25">
      <c r="B5" s="31">
        <v>15</v>
      </c>
      <c r="C5" s="32">
        <v>0.99909999999999999</v>
      </c>
    </row>
    <row r="6" spans="2:3" x14ac:dyDescent="0.25">
      <c r="B6" s="33">
        <f>B5+0.1</f>
        <v>15.1</v>
      </c>
      <c r="C6" s="34">
        <v>0.99909000000000003</v>
      </c>
    </row>
    <row r="7" spans="2:3" x14ac:dyDescent="0.25">
      <c r="B7" s="33">
        <f t="shared" ref="B7:B70" si="0">B6+0.1</f>
        <v>15.2</v>
      </c>
      <c r="C7" s="34">
        <v>0.99907000000000001</v>
      </c>
    </row>
    <row r="8" spans="2:3" x14ac:dyDescent="0.25">
      <c r="B8" s="33">
        <f t="shared" si="0"/>
        <v>15.299999999999999</v>
      </c>
      <c r="C8" s="34">
        <v>0.99905999999999995</v>
      </c>
    </row>
    <row r="9" spans="2:3" x14ac:dyDescent="0.25">
      <c r="B9" s="33">
        <f t="shared" si="0"/>
        <v>15.399999999999999</v>
      </c>
      <c r="C9" s="34">
        <v>0.99904000000000004</v>
      </c>
    </row>
    <row r="10" spans="2:3" x14ac:dyDescent="0.25">
      <c r="B10" s="33">
        <f t="shared" si="0"/>
        <v>15.499999999999998</v>
      </c>
      <c r="C10" s="34">
        <v>0.99902000000000002</v>
      </c>
    </row>
    <row r="11" spans="2:3" x14ac:dyDescent="0.25">
      <c r="B11" s="33">
        <f t="shared" si="0"/>
        <v>15.599999999999998</v>
      </c>
      <c r="C11" s="34">
        <v>0.99900999999999995</v>
      </c>
    </row>
    <row r="12" spans="2:3" x14ac:dyDescent="0.25">
      <c r="B12" s="33">
        <f t="shared" si="0"/>
        <v>15.699999999999998</v>
      </c>
      <c r="C12" s="34">
        <v>0.99899000000000004</v>
      </c>
    </row>
    <row r="13" spans="2:3" x14ac:dyDescent="0.25">
      <c r="B13" s="33">
        <f t="shared" si="0"/>
        <v>15.799999999999997</v>
      </c>
      <c r="C13" s="34">
        <v>0.99897999999999998</v>
      </c>
    </row>
    <row r="14" spans="2:3" x14ac:dyDescent="0.25">
      <c r="B14" s="33">
        <f t="shared" si="0"/>
        <v>15.899999999999997</v>
      </c>
      <c r="C14" s="34">
        <v>0.99895999999999996</v>
      </c>
    </row>
    <row r="15" spans="2:3" x14ac:dyDescent="0.25">
      <c r="B15" s="33">
        <f t="shared" si="0"/>
        <v>15.999999999999996</v>
      </c>
      <c r="C15" s="34">
        <v>0.99895</v>
      </c>
    </row>
    <row r="16" spans="2:3" x14ac:dyDescent="0.25">
      <c r="B16" s="33">
        <f t="shared" si="0"/>
        <v>16.099999999999998</v>
      </c>
      <c r="C16" s="34">
        <v>0.99892999999999998</v>
      </c>
    </row>
    <row r="17" spans="2:3" x14ac:dyDescent="0.25">
      <c r="B17" s="33">
        <f t="shared" si="0"/>
        <v>16.2</v>
      </c>
      <c r="C17" s="34">
        <v>0.99890999999999996</v>
      </c>
    </row>
    <row r="18" spans="2:3" x14ac:dyDescent="0.25">
      <c r="B18" s="33">
        <f t="shared" si="0"/>
        <v>16.3</v>
      </c>
      <c r="C18" s="34">
        <v>0.99890000000000001</v>
      </c>
    </row>
    <row r="19" spans="2:3" x14ac:dyDescent="0.25">
      <c r="B19" s="33">
        <f t="shared" si="0"/>
        <v>16.400000000000002</v>
      </c>
      <c r="C19" s="34">
        <v>0.99887999999999999</v>
      </c>
    </row>
    <row r="20" spans="2:3" x14ac:dyDescent="0.25">
      <c r="B20" s="33">
        <f t="shared" si="0"/>
        <v>16.500000000000004</v>
      </c>
      <c r="C20" s="34">
        <v>0.99885999999999997</v>
      </c>
    </row>
    <row r="21" spans="2:3" x14ac:dyDescent="0.25">
      <c r="B21" s="33">
        <f t="shared" si="0"/>
        <v>16.600000000000005</v>
      </c>
      <c r="C21" s="34">
        <v>0.99885000000000002</v>
      </c>
    </row>
    <row r="22" spans="2:3" x14ac:dyDescent="0.25">
      <c r="B22" s="33">
        <f t="shared" si="0"/>
        <v>16.700000000000006</v>
      </c>
      <c r="C22" s="34">
        <v>0.99883</v>
      </c>
    </row>
    <row r="23" spans="2:3" x14ac:dyDescent="0.25">
      <c r="B23" s="33">
        <f t="shared" si="0"/>
        <v>16.800000000000008</v>
      </c>
      <c r="C23" s="34">
        <v>0.99880999999999998</v>
      </c>
    </row>
    <row r="24" spans="2:3" x14ac:dyDescent="0.25">
      <c r="B24" s="33">
        <f t="shared" si="0"/>
        <v>16.900000000000009</v>
      </c>
      <c r="C24" s="34">
        <v>0.99878999999999996</v>
      </c>
    </row>
    <row r="25" spans="2:3" x14ac:dyDescent="0.25">
      <c r="B25" s="33">
        <f t="shared" si="0"/>
        <v>17.000000000000011</v>
      </c>
      <c r="C25" s="34">
        <v>0.99878</v>
      </c>
    </row>
    <row r="26" spans="2:3" x14ac:dyDescent="0.25">
      <c r="B26" s="33">
        <f t="shared" si="0"/>
        <v>17.100000000000012</v>
      </c>
      <c r="C26" s="34">
        <v>0.99875999999999998</v>
      </c>
    </row>
    <row r="27" spans="2:3" x14ac:dyDescent="0.25">
      <c r="B27" s="33">
        <f t="shared" si="0"/>
        <v>17.200000000000014</v>
      </c>
      <c r="C27" s="34">
        <v>0.99873999999999996</v>
      </c>
    </row>
    <row r="28" spans="2:3" x14ac:dyDescent="0.25">
      <c r="B28" s="33">
        <f t="shared" si="0"/>
        <v>17.300000000000015</v>
      </c>
      <c r="C28" s="34">
        <v>0.99872000000000005</v>
      </c>
    </row>
    <row r="29" spans="2:3" x14ac:dyDescent="0.25">
      <c r="B29" s="33">
        <f t="shared" si="0"/>
        <v>17.400000000000016</v>
      </c>
      <c r="C29" s="34">
        <v>0.99870999999999999</v>
      </c>
    </row>
    <row r="30" spans="2:3" x14ac:dyDescent="0.25">
      <c r="B30" s="33">
        <f t="shared" si="0"/>
        <v>17.500000000000018</v>
      </c>
      <c r="C30" s="34">
        <v>0.99868999999999997</v>
      </c>
    </row>
    <row r="31" spans="2:3" x14ac:dyDescent="0.25">
      <c r="B31" s="33">
        <f t="shared" si="0"/>
        <v>17.600000000000019</v>
      </c>
      <c r="C31" s="34">
        <v>0.99866999999999995</v>
      </c>
    </row>
    <row r="32" spans="2:3" x14ac:dyDescent="0.25">
      <c r="B32" s="33">
        <f t="shared" si="0"/>
        <v>17.700000000000021</v>
      </c>
      <c r="C32" s="34">
        <v>0.99865000000000004</v>
      </c>
    </row>
    <row r="33" spans="2:3" x14ac:dyDescent="0.25">
      <c r="B33" s="33">
        <f t="shared" si="0"/>
        <v>17.800000000000022</v>
      </c>
      <c r="C33" s="34">
        <v>0.99863000000000002</v>
      </c>
    </row>
    <row r="34" spans="2:3" x14ac:dyDescent="0.25">
      <c r="B34" s="33">
        <f t="shared" si="0"/>
        <v>17.900000000000023</v>
      </c>
      <c r="C34" s="34">
        <v>0.99861999999999995</v>
      </c>
    </row>
    <row r="35" spans="2:3" x14ac:dyDescent="0.25">
      <c r="B35" s="33">
        <f t="shared" si="0"/>
        <v>18.000000000000025</v>
      </c>
      <c r="C35" s="34">
        <v>0.99860000000000004</v>
      </c>
    </row>
    <row r="36" spans="2:3" x14ac:dyDescent="0.25">
      <c r="B36" s="33">
        <f t="shared" si="0"/>
        <v>18.100000000000026</v>
      </c>
      <c r="C36" s="34">
        <v>0.99858000000000002</v>
      </c>
    </row>
    <row r="37" spans="2:3" x14ac:dyDescent="0.25">
      <c r="B37" s="33">
        <f t="shared" si="0"/>
        <v>18.200000000000028</v>
      </c>
      <c r="C37" s="34">
        <v>0.99856</v>
      </c>
    </row>
    <row r="38" spans="2:3" x14ac:dyDescent="0.25">
      <c r="B38" s="33">
        <f t="shared" si="0"/>
        <v>18.300000000000029</v>
      </c>
      <c r="C38" s="34">
        <v>0.99853999999999998</v>
      </c>
    </row>
    <row r="39" spans="2:3" x14ac:dyDescent="0.25">
      <c r="B39" s="33">
        <f t="shared" si="0"/>
        <v>18.400000000000031</v>
      </c>
      <c r="C39" s="34">
        <v>0.99851999999999996</v>
      </c>
    </row>
    <row r="40" spans="2:3" x14ac:dyDescent="0.25">
      <c r="B40" s="33">
        <f t="shared" si="0"/>
        <v>18.500000000000032</v>
      </c>
      <c r="C40" s="34">
        <v>0.99850000000000005</v>
      </c>
    </row>
    <row r="41" spans="2:3" x14ac:dyDescent="0.25">
      <c r="B41" s="33">
        <f t="shared" si="0"/>
        <v>18.600000000000033</v>
      </c>
      <c r="C41" s="34">
        <v>0.99848000000000003</v>
      </c>
    </row>
    <row r="42" spans="2:3" x14ac:dyDescent="0.25">
      <c r="B42" s="33">
        <f t="shared" si="0"/>
        <v>18.700000000000035</v>
      </c>
      <c r="C42" s="34">
        <v>0.99846999999999997</v>
      </c>
    </row>
    <row r="43" spans="2:3" x14ac:dyDescent="0.25">
      <c r="B43" s="33">
        <f t="shared" si="0"/>
        <v>18.800000000000036</v>
      </c>
      <c r="C43" s="34">
        <v>0.99844999999999995</v>
      </c>
    </row>
    <row r="44" spans="2:3" x14ac:dyDescent="0.25">
      <c r="B44" s="33">
        <f t="shared" si="0"/>
        <v>18.900000000000038</v>
      </c>
      <c r="C44" s="34">
        <v>0.99843000000000004</v>
      </c>
    </row>
    <row r="45" spans="2:3" x14ac:dyDescent="0.25">
      <c r="B45" s="33">
        <f t="shared" si="0"/>
        <v>19.000000000000039</v>
      </c>
      <c r="C45" s="34">
        <v>0.99841000000000002</v>
      </c>
    </row>
    <row r="46" spans="2:3" x14ac:dyDescent="0.25">
      <c r="B46" s="33">
        <f t="shared" si="0"/>
        <v>19.100000000000041</v>
      </c>
      <c r="C46" s="34">
        <v>0.99839</v>
      </c>
    </row>
    <row r="47" spans="2:3" x14ac:dyDescent="0.25">
      <c r="B47" s="33">
        <f t="shared" si="0"/>
        <v>19.200000000000042</v>
      </c>
      <c r="C47" s="34">
        <v>0.99836999999999998</v>
      </c>
    </row>
    <row r="48" spans="2:3" x14ac:dyDescent="0.25">
      <c r="B48" s="33">
        <f t="shared" si="0"/>
        <v>19.300000000000043</v>
      </c>
      <c r="C48" s="34">
        <v>0.99834999999999996</v>
      </c>
    </row>
    <row r="49" spans="2:3" x14ac:dyDescent="0.25">
      <c r="B49" s="33">
        <f t="shared" si="0"/>
        <v>19.400000000000045</v>
      </c>
      <c r="C49" s="34">
        <v>0.99833000000000005</v>
      </c>
    </row>
    <row r="50" spans="2:3" x14ac:dyDescent="0.25">
      <c r="B50" s="33">
        <f t="shared" si="0"/>
        <v>19.500000000000046</v>
      </c>
      <c r="C50" s="34">
        <v>0.99831000000000003</v>
      </c>
    </row>
    <row r="51" spans="2:3" x14ac:dyDescent="0.25">
      <c r="B51" s="33">
        <f t="shared" si="0"/>
        <v>19.600000000000048</v>
      </c>
      <c r="C51" s="34">
        <v>0.99829000000000001</v>
      </c>
    </row>
    <row r="52" spans="2:3" x14ac:dyDescent="0.25">
      <c r="B52" s="33">
        <f t="shared" si="0"/>
        <v>19.700000000000049</v>
      </c>
      <c r="C52" s="34">
        <v>0.99826999999999999</v>
      </c>
    </row>
    <row r="53" spans="2:3" x14ac:dyDescent="0.25">
      <c r="B53" s="33">
        <f t="shared" si="0"/>
        <v>19.80000000000005</v>
      </c>
      <c r="C53" s="34">
        <v>0.99824999999999997</v>
      </c>
    </row>
    <row r="54" spans="2:3" x14ac:dyDescent="0.25">
      <c r="B54" s="33">
        <f t="shared" si="0"/>
        <v>19.900000000000052</v>
      </c>
      <c r="C54" s="34">
        <v>0.99822999999999995</v>
      </c>
    </row>
    <row r="55" spans="2:3" x14ac:dyDescent="0.25">
      <c r="B55" s="33">
        <f t="shared" si="0"/>
        <v>20.000000000000053</v>
      </c>
      <c r="C55" s="34">
        <v>0.99821000000000004</v>
      </c>
    </row>
    <row r="56" spans="2:3" x14ac:dyDescent="0.25">
      <c r="B56" s="33">
        <f t="shared" si="0"/>
        <v>20.100000000000055</v>
      </c>
      <c r="C56" s="34">
        <v>0.99819000000000002</v>
      </c>
    </row>
    <row r="57" spans="2:3" x14ac:dyDescent="0.25">
      <c r="B57" s="33">
        <f t="shared" si="0"/>
        <v>20.200000000000056</v>
      </c>
      <c r="C57" s="34">
        <v>0.99816000000000005</v>
      </c>
    </row>
    <row r="58" spans="2:3" x14ac:dyDescent="0.25">
      <c r="B58" s="33">
        <f t="shared" si="0"/>
        <v>20.300000000000058</v>
      </c>
      <c r="C58" s="34">
        <v>0.99814000000000003</v>
      </c>
    </row>
    <row r="59" spans="2:3" x14ac:dyDescent="0.25">
      <c r="B59" s="33">
        <f t="shared" si="0"/>
        <v>20.400000000000059</v>
      </c>
      <c r="C59" s="34">
        <v>0.99812000000000001</v>
      </c>
    </row>
    <row r="60" spans="2:3" x14ac:dyDescent="0.25">
      <c r="B60" s="33">
        <f t="shared" si="0"/>
        <v>20.50000000000006</v>
      </c>
      <c r="C60" s="34">
        <v>0.99809999999999999</v>
      </c>
    </row>
    <row r="61" spans="2:3" x14ac:dyDescent="0.25">
      <c r="B61" s="33">
        <f t="shared" si="0"/>
        <v>20.600000000000062</v>
      </c>
      <c r="C61" s="34">
        <v>0.99807999999999997</v>
      </c>
    </row>
    <row r="62" spans="2:3" x14ac:dyDescent="0.25">
      <c r="B62" s="33">
        <f t="shared" si="0"/>
        <v>20.700000000000063</v>
      </c>
      <c r="C62" s="34">
        <v>0.99805999999999995</v>
      </c>
    </row>
    <row r="63" spans="2:3" x14ac:dyDescent="0.25">
      <c r="B63" s="33">
        <f t="shared" si="0"/>
        <v>20.800000000000065</v>
      </c>
      <c r="C63" s="34">
        <v>0.99804000000000004</v>
      </c>
    </row>
    <row r="64" spans="2:3" x14ac:dyDescent="0.25">
      <c r="B64" s="33">
        <f t="shared" si="0"/>
        <v>20.900000000000066</v>
      </c>
      <c r="C64" s="34">
        <v>0.99802000000000002</v>
      </c>
    </row>
    <row r="65" spans="2:3" x14ac:dyDescent="0.25">
      <c r="B65" s="33">
        <f t="shared" si="0"/>
        <v>21.000000000000068</v>
      </c>
      <c r="C65" s="34">
        <v>0.99799000000000004</v>
      </c>
    </row>
    <row r="66" spans="2:3" x14ac:dyDescent="0.25">
      <c r="B66" s="33">
        <f t="shared" si="0"/>
        <v>21.100000000000069</v>
      </c>
      <c r="C66" s="34">
        <v>0.99797000000000002</v>
      </c>
    </row>
    <row r="67" spans="2:3" x14ac:dyDescent="0.25">
      <c r="B67" s="33">
        <f t="shared" si="0"/>
        <v>21.20000000000007</v>
      </c>
      <c r="C67" s="34">
        <v>0.99795</v>
      </c>
    </row>
    <row r="68" spans="2:3" x14ac:dyDescent="0.25">
      <c r="B68" s="33">
        <f t="shared" si="0"/>
        <v>21.300000000000072</v>
      </c>
      <c r="C68" s="34">
        <v>0.99792999999999998</v>
      </c>
    </row>
    <row r="69" spans="2:3" x14ac:dyDescent="0.25">
      <c r="B69" s="33">
        <f t="shared" si="0"/>
        <v>21.400000000000073</v>
      </c>
      <c r="C69" s="34">
        <v>0.99790999999999996</v>
      </c>
    </row>
    <row r="70" spans="2:3" x14ac:dyDescent="0.25">
      <c r="B70" s="33">
        <f t="shared" si="0"/>
        <v>21.500000000000075</v>
      </c>
      <c r="C70" s="34">
        <v>0.99789000000000005</v>
      </c>
    </row>
    <row r="71" spans="2:3" x14ac:dyDescent="0.25">
      <c r="B71" s="33">
        <f t="shared" ref="B71:B135" si="1">B70+0.1</f>
        <v>21.600000000000076</v>
      </c>
      <c r="C71" s="34">
        <v>0.99785999999999997</v>
      </c>
    </row>
    <row r="72" spans="2:3" x14ac:dyDescent="0.25">
      <c r="B72" s="33">
        <f t="shared" si="1"/>
        <v>21.700000000000077</v>
      </c>
      <c r="C72" s="34">
        <v>0.99783999999999995</v>
      </c>
    </row>
    <row r="73" spans="2:3" x14ac:dyDescent="0.25">
      <c r="B73" s="33">
        <f t="shared" si="1"/>
        <v>21.800000000000079</v>
      </c>
      <c r="C73" s="34">
        <v>0.99782000000000004</v>
      </c>
    </row>
    <row r="74" spans="2:3" x14ac:dyDescent="0.25">
      <c r="B74" s="33">
        <f t="shared" si="1"/>
        <v>21.90000000000008</v>
      </c>
      <c r="C74" s="34">
        <v>0.99780000000000002</v>
      </c>
    </row>
    <row r="75" spans="2:3" x14ac:dyDescent="0.25">
      <c r="B75" s="33">
        <f t="shared" si="1"/>
        <v>22.000000000000082</v>
      </c>
      <c r="C75" s="34">
        <v>0.99777000000000005</v>
      </c>
    </row>
    <row r="76" spans="2:3" x14ac:dyDescent="0.25">
      <c r="B76" s="33">
        <f t="shared" si="1"/>
        <v>22.100000000000083</v>
      </c>
      <c r="C76" s="34">
        <v>0.99775000000000003</v>
      </c>
    </row>
    <row r="77" spans="2:3" x14ac:dyDescent="0.25">
      <c r="B77" s="33">
        <f t="shared" si="1"/>
        <v>22.200000000000085</v>
      </c>
      <c r="C77" s="34">
        <v>0.99773000000000001</v>
      </c>
    </row>
    <row r="78" spans="2:3" x14ac:dyDescent="0.25">
      <c r="B78" s="33">
        <f t="shared" si="1"/>
        <v>22.300000000000086</v>
      </c>
      <c r="C78" s="34">
        <v>0.99770000000000003</v>
      </c>
    </row>
    <row r="79" spans="2:3" x14ac:dyDescent="0.25">
      <c r="B79" s="33">
        <f t="shared" si="1"/>
        <v>22.400000000000087</v>
      </c>
      <c r="C79" s="34">
        <v>0.99768000000000001</v>
      </c>
    </row>
    <row r="80" spans="2:3" x14ac:dyDescent="0.25">
      <c r="B80" s="33">
        <f t="shared" si="1"/>
        <v>22.500000000000089</v>
      </c>
      <c r="C80" s="34">
        <v>0.99765999999999999</v>
      </c>
    </row>
    <row r="81" spans="2:5" x14ac:dyDescent="0.25">
      <c r="B81" s="33">
        <f t="shared" si="1"/>
        <v>22.60000000000009</v>
      </c>
      <c r="C81" s="34">
        <v>0.99763999999999997</v>
      </c>
    </row>
    <row r="82" spans="2:5" x14ac:dyDescent="0.25">
      <c r="B82" s="33">
        <f t="shared" si="1"/>
        <v>22.700000000000092</v>
      </c>
      <c r="C82" s="34">
        <v>0.99761</v>
      </c>
    </row>
    <row r="83" spans="2:5" x14ac:dyDescent="0.25">
      <c r="B83" s="33">
        <f t="shared" si="1"/>
        <v>22.800000000000093</v>
      </c>
      <c r="C83" s="34">
        <v>0.99758999999999998</v>
      </c>
    </row>
    <row r="84" spans="2:5" x14ac:dyDescent="0.25">
      <c r="B84" s="33">
        <f t="shared" si="1"/>
        <v>22.900000000000095</v>
      </c>
      <c r="C84" s="34">
        <v>0.99756</v>
      </c>
    </row>
    <row r="85" spans="2:5" x14ac:dyDescent="0.25">
      <c r="B85" s="33">
        <f t="shared" si="1"/>
        <v>23.000000000000096</v>
      </c>
      <c r="C85" s="34">
        <v>0.99753999999999998</v>
      </c>
    </row>
    <row r="86" spans="2:5" x14ac:dyDescent="0.25">
      <c r="B86" s="33">
        <f t="shared" si="1"/>
        <v>23.100000000000097</v>
      </c>
      <c r="C86" s="34">
        <v>0.99751999999999996</v>
      </c>
    </row>
    <row r="87" spans="2:5" x14ac:dyDescent="0.25">
      <c r="B87" s="33">
        <f t="shared" si="1"/>
        <v>23.200000000000099</v>
      </c>
      <c r="C87" s="34">
        <v>0.99748999999999999</v>
      </c>
    </row>
    <row r="88" spans="2:5" x14ac:dyDescent="0.25">
      <c r="B88" s="33">
        <f t="shared" si="1"/>
        <v>23.3000000000001</v>
      </c>
      <c r="C88" s="34">
        <v>0.99746999999999997</v>
      </c>
    </row>
    <row r="89" spans="2:5" x14ac:dyDescent="0.25">
      <c r="B89" s="33">
        <f t="shared" si="1"/>
        <v>23.400000000000102</v>
      </c>
      <c r="C89" s="34">
        <v>0.99744999999999995</v>
      </c>
    </row>
    <row r="90" spans="2:5" x14ac:dyDescent="0.25">
      <c r="B90" s="33">
        <f t="shared" si="1"/>
        <v>23.500000000000103</v>
      </c>
      <c r="C90" s="34">
        <v>0.99741999999999997</v>
      </c>
    </row>
    <row r="91" spans="2:5" x14ac:dyDescent="0.25">
      <c r="B91" s="33">
        <f t="shared" si="1"/>
        <v>23.600000000000104</v>
      </c>
      <c r="C91" s="34">
        <v>0.99739999999999995</v>
      </c>
    </row>
    <row r="92" spans="2:5" x14ac:dyDescent="0.25">
      <c r="B92" s="33">
        <f t="shared" si="1"/>
        <v>23.700000000000106</v>
      </c>
      <c r="C92" s="34">
        <v>0.99736999999999998</v>
      </c>
    </row>
    <row r="93" spans="2:5" x14ac:dyDescent="0.25">
      <c r="B93" s="33">
        <f t="shared" si="1"/>
        <v>23.800000000000107</v>
      </c>
      <c r="C93" s="34">
        <v>0.99734999999999996</v>
      </c>
    </row>
    <row r="94" spans="2:5" x14ac:dyDescent="0.25">
      <c r="B94" s="33">
        <f t="shared" si="1"/>
        <v>23.900000000000109</v>
      </c>
      <c r="C94" s="34">
        <v>0.99731999999999998</v>
      </c>
    </row>
    <row r="95" spans="2:5" x14ac:dyDescent="0.25">
      <c r="B95" s="33">
        <f t="shared" si="1"/>
        <v>24.00000000000011</v>
      </c>
      <c r="C95" s="34">
        <v>0.99729999999999996</v>
      </c>
    </row>
    <row r="96" spans="2:5" x14ac:dyDescent="0.25">
      <c r="B96" s="33">
        <f t="shared" si="1"/>
        <v>24.100000000000112</v>
      </c>
      <c r="C96" s="34">
        <v>0.99726999999999999</v>
      </c>
      <c r="E96" s="5"/>
    </row>
    <row r="97" spans="2:3" x14ac:dyDescent="0.25">
      <c r="B97" s="33">
        <f t="shared" si="1"/>
        <v>24.200000000000113</v>
      </c>
      <c r="C97" s="34">
        <v>0.99724999999999997</v>
      </c>
    </row>
    <row r="98" spans="2:3" x14ac:dyDescent="0.25">
      <c r="B98" s="33">
        <f t="shared" si="1"/>
        <v>24.300000000000114</v>
      </c>
      <c r="C98" s="34">
        <v>0.99722999999999995</v>
      </c>
    </row>
    <row r="99" spans="2:3" x14ac:dyDescent="0.25">
      <c r="B99" s="33">
        <f t="shared" si="1"/>
        <v>24.400000000000116</v>
      </c>
      <c r="C99" s="34">
        <v>0.99719999999999998</v>
      </c>
    </row>
    <row r="100" spans="2:3" x14ac:dyDescent="0.25">
      <c r="B100" s="33">
        <f t="shared" si="1"/>
        <v>24.500000000000117</v>
      </c>
      <c r="C100" s="34">
        <v>0.99717</v>
      </c>
    </row>
    <row r="101" spans="2:3" x14ac:dyDescent="0.25">
      <c r="B101" s="33">
        <f t="shared" si="1"/>
        <v>24.600000000000119</v>
      </c>
      <c r="C101" s="34">
        <v>0.99714999999999998</v>
      </c>
    </row>
    <row r="102" spans="2:3" x14ac:dyDescent="0.25">
      <c r="B102" s="33">
        <f t="shared" si="1"/>
        <v>24.70000000000012</v>
      </c>
      <c r="C102" s="34">
        <v>0.99712000000000001</v>
      </c>
    </row>
    <row r="103" spans="2:3" x14ac:dyDescent="0.25">
      <c r="B103" s="33">
        <f t="shared" si="1"/>
        <v>24.800000000000122</v>
      </c>
      <c r="C103" s="34">
        <v>0.99709999999999999</v>
      </c>
    </row>
    <row r="104" spans="2:3" x14ac:dyDescent="0.25">
      <c r="B104" s="33">
        <f t="shared" si="1"/>
        <v>24.900000000000123</v>
      </c>
      <c r="C104" s="34">
        <v>0.99707000000000001</v>
      </c>
    </row>
    <row r="105" spans="2:3" x14ac:dyDescent="0.25">
      <c r="B105" s="33">
        <f t="shared" si="1"/>
        <v>25.000000000000124</v>
      </c>
      <c r="C105" s="34">
        <v>0.99704999999999999</v>
      </c>
    </row>
    <row r="106" spans="2:3" x14ac:dyDescent="0.25">
      <c r="B106" s="33">
        <f t="shared" si="1"/>
        <v>25.100000000000126</v>
      </c>
      <c r="C106" s="34">
        <v>0.99702000000000002</v>
      </c>
    </row>
    <row r="107" spans="2:3" x14ac:dyDescent="0.25">
      <c r="B107" s="33">
        <f t="shared" si="1"/>
        <v>25.200000000000127</v>
      </c>
      <c r="C107" s="34">
        <v>0.997</v>
      </c>
    </row>
    <row r="108" spans="2:3" x14ac:dyDescent="0.25">
      <c r="B108" s="33">
        <f t="shared" si="1"/>
        <v>25.300000000000129</v>
      </c>
      <c r="C108" s="34">
        <v>0.99697000000000002</v>
      </c>
    </row>
    <row r="109" spans="2:3" x14ac:dyDescent="0.25">
      <c r="B109" s="33">
        <f t="shared" si="1"/>
        <v>25.40000000000013</v>
      </c>
      <c r="C109" s="34">
        <v>0.99694000000000005</v>
      </c>
    </row>
    <row r="110" spans="2:3" x14ac:dyDescent="0.25">
      <c r="B110" s="33">
        <f t="shared" si="1"/>
        <v>25.500000000000131</v>
      </c>
      <c r="C110" s="34">
        <v>0.99692000000000003</v>
      </c>
    </row>
    <row r="111" spans="2:3" x14ac:dyDescent="0.25">
      <c r="B111" s="33">
        <f t="shared" si="1"/>
        <v>25.600000000000133</v>
      </c>
      <c r="C111" s="34">
        <v>0.99689000000000005</v>
      </c>
    </row>
    <row r="112" spans="2:3" x14ac:dyDescent="0.25">
      <c r="B112" s="33">
        <f t="shared" si="1"/>
        <v>25.700000000000134</v>
      </c>
      <c r="C112" s="34">
        <v>0.99687000000000003</v>
      </c>
    </row>
    <row r="113" spans="2:3" x14ac:dyDescent="0.25">
      <c r="B113" s="33">
        <f t="shared" si="1"/>
        <v>25.800000000000136</v>
      </c>
      <c r="C113" s="34">
        <v>0.99683999999999995</v>
      </c>
    </row>
    <row r="114" spans="2:3" x14ac:dyDescent="0.25">
      <c r="B114" s="33">
        <f t="shared" si="1"/>
        <v>25.900000000000137</v>
      </c>
      <c r="C114" s="34">
        <v>0.99680999999999997</v>
      </c>
    </row>
    <row r="115" spans="2:3" x14ac:dyDescent="0.25">
      <c r="B115" s="33">
        <f t="shared" si="1"/>
        <v>26.000000000000139</v>
      </c>
      <c r="C115" s="34">
        <v>0.99678999999999995</v>
      </c>
    </row>
    <row r="116" spans="2:3" x14ac:dyDescent="0.25">
      <c r="B116" s="33">
        <f t="shared" si="1"/>
        <v>26.10000000000014</v>
      </c>
      <c r="C116" s="34">
        <v>0.99675999999999998</v>
      </c>
    </row>
    <row r="117" spans="2:3" x14ac:dyDescent="0.25">
      <c r="B117" s="33">
        <f t="shared" si="1"/>
        <v>26.200000000000141</v>
      </c>
      <c r="C117" s="34">
        <v>0.99673</v>
      </c>
    </row>
    <row r="118" spans="2:3" x14ac:dyDescent="0.25">
      <c r="B118" s="33">
        <f t="shared" si="1"/>
        <v>26.300000000000143</v>
      </c>
      <c r="C118" s="34">
        <v>0.99670999999999998</v>
      </c>
    </row>
    <row r="119" spans="2:3" x14ac:dyDescent="0.25">
      <c r="B119" s="33">
        <f t="shared" si="1"/>
        <v>26.400000000000144</v>
      </c>
      <c r="C119" s="34">
        <v>0.99668000000000001</v>
      </c>
    </row>
    <row r="120" spans="2:3" x14ac:dyDescent="0.25">
      <c r="B120" s="33">
        <f t="shared" si="1"/>
        <v>26.500000000000146</v>
      </c>
      <c r="C120" s="34">
        <v>0.99665000000000004</v>
      </c>
    </row>
    <row r="121" spans="2:3" x14ac:dyDescent="0.25">
      <c r="B121" s="33">
        <f t="shared" si="1"/>
        <v>26.600000000000147</v>
      </c>
      <c r="C121" s="34">
        <v>0.99663000000000002</v>
      </c>
    </row>
    <row r="122" spans="2:3" x14ac:dyDescent="0.25">
      <c r="B122" s="33">
        <f t="shared" si="1"/>
        <v>26.700000000000149</v>
      </c>
      <c r="C122" s="34">
        <v>0.99660000000000004</v>
      </c>
    </row>
    <row r="123" spans="2:3" x14ac:dyDescent="0.25">
      <c r="B123" s="33">
        <f t="shared" si="1"/>
        <v>26.80000000000015</v>
      </c>
      <c r="C123" s="34">
        <v>0.99656999999999996</v>
      </c>
    </row>
    <row r="124" spans="2:3" x14ac:dyDescent="0.25">
      <c r="B124" s="33">
        <f t="shared" si="1"/>
        <v>26.900000000000151</v>
      </c>
      <c r="C124" s="34">
        <v>0.99653999999999998</v>
      </c>
    </row>
    <row r="125" spans="2:3" x14ac:dyDescent="0.25">
      <c r="B125" s="33">
        <f t="shared" si="1"/>
        <v>27.000000000000153</v>
      </c>
      <c r="C125" s="34">
        <v>0.99651999999999996</v>
      </c>
    </row>
    <row r="126" spans="2:3" x14ac:dyDescent="0.25">
      <c r="B126" s="33">
        <f t="shared" si="1"/>
        <v>27.100000000000154</v>
      </c>
      <c r="C126" s="34">
        <v>0.99648999999999999</v>
      </c>
    </row>
    <row r="127" spans="2:3" x14ac:dyDescent="0.25">
      <c r="B127" s="33">
        <f t="shared" si="1"/>
        <v>27.200000000000156</v>
      </c>
      <c r="C127" s="34">
        <v>0.99646000000000001</v>
      </c>
    </row>
    <row r="128" spans="2:3" x14ac:dyDescent="0.25">
      <c r="B128" s="33">
        <f t="shared" si="1"/>
        <v>27.300000000000157</v>
      </c>
      <c r="C128" s="34">
        <v>0.99643000000000004</v>
      </c>
    </row>
    <row r="129" spans="2:3" x14ac:dyDescent="0.25">
      <c r="B129" s="33">
        <f t="shared" si="1"/>
        <v>27.400000000000158</v>
      </c>
      <c r="C129" s="34">
        <v>0.99641000000000002</v>
      </c>
    </row>
    <row r="130" spans="2:3" x14ac:dyDescent="0.25">
      <c r="B130" s="33">
        <f t="shared" si="1"/>
        <v>27.50000000000016</v>
      </c>
      <c r="C130" s="34">
        <v>0.99638000000000004</v>
      </c>
    </row>
    <row r="131" spans="2:3" x14ac:dyDescent="0.25">
      <c r="B131" s="33">
        <f t="shared" si="1"/>
        <v>27.600000000000161</v>
      </c>
      <c r="C131" s="34">
        <v>0.99634999999999996</v>
      </c>
    </row>
    <row r="132" spans="2:3" x14ac:dyDescent="0.25">
      <c r="B132" s="33">
        <f t="shared" si="1"/>
        <v>27.700000000000163</v>
      </c>
      <c r="C132" s="34">
        <v>0.99631999999999998</v>
      </c>
    </row>
    <row r="133" spans="2:3" x14ac:dyDescent="0.25">
      <c r="B133" s="33">
        <f t="shared" si="1"/>
        <v>27.800000000000164</v>
      </c>
      <c r="C133" s="34">
        <v>0.99629000000000001</v>
      </c>
    </row>
    <row r="134" spans="2:3" x14ac:dyDescent="0.25">
      <c r="B134" s="33">
        <f t="shared" si="1"/>
        <v>27.900000000000166</v>
      </c>
      <c r="C134" s="34">
        <v>0.99626999999999999</v>
      </c>
    </row>
    <row r="135" spans="2:3" x14ac:dyDescent="0.25">
      <c r="B135" s="33">
        <f t="shared" si="1"/>
        <v>28.000000000000167</v>
      </c>
      <c r="C135" s="34">
        <v>0.99624000000000001</v>
      </c>
    </row>
    <row r="136" spans="2:3" x14ac:dyDescent="0.25">
      <c r="B136" s="33">
        <f t="shared" ref="B136:B164" si="2">B135+0.1</f>
        <v>28.100000000000168</v>
      </c>
      <c r="C136" s="34">
        <v>0.99621000000000004</v>
      </c>
    </row>
    <row r="137" spans="2:3" x14ac:dyDescent="0.25">
      <c r="B137" s="33">
        <f t="shared" si="2"/>
        <v>28.20000000000017</v>
      </c>
      <c r="C137" s="34">
        <v>0.99617999999999995</v>
      </c>
    </row>
    <row r="138" spans="2:3" x14ac:dyDescent="0.25">
      <c r="B138" s="33">
        <f t="shared" si="2"/>
        <v>28.300000000000171</v>
      </c>
      <c r="C138" s="34">
        <v>0.99614999999999998</v>
      </c>
    </row>
    <row r="139" spans="2:3" x14ac:dyDescent="0.25">
      <c r="B139" s="33">
        <f t="shared" si="2"/>
        <v>28.400000000000173</v>
      </c>
      <c r="C139" s="34">
        <v>0.99612000000000001</v>
      </c>
    </row>
    <row r="140" spans="2:3" x14ac:dyDescent="0.25">
      <c r="B140" s="33">
        <f t="shared" si="2"/>
        <v>28.500000000000174</v>
      </c>
      <c r="C140" s="34">
        <v>0.99609000000000003</v>
      </c>
    </row>
    <row r="141" spans="2:3" x14ac:dyDescent="0.25">
      <c r="B141" s="33">
        <f t="shared" si="2"/>
        <v>28.600000000000176</v>
      </c>
      <c r="C141" s="34">
        <v>0.99607000000000001</v>
      </c>
    </row>
    <row r="142" spans="2:3" x14ac:dyDescent="0.25">
      <c r="B142" s="33">
        <f t="shared" si="2"/>
        <v>28.700000000000177</v>
      </c>
      <c r="C142" s="34">
        <v>0.99604000000000004</v>
      </c>
    </row>
    <row r="143" spans="2:3" x14ac:dyDescent="0.25">
      <c r="B143" s="33">
        <f t="shared" si="2"/>
        <v>28.800000000000178</v>
      </c>
      <c r="C143" s="34">
        <v>0.99600999999999995</v>
      </c>
    </row>
    <row r="144" spans="2:3" x14ac:dyDescent="0.25">
      <c r="B144" s="33">
        <f t="shared" si="2"/>
        <v>28.90000000000018</v>
      </c>
      <c r="C144" s="34">
        <v>0.99597999999999998</v>
      </c>
    </row>
    <row r="145" spans="2:3" x14ac:dyDescent="0.25">
      <c r="B145" s="33">
        <f t="shared" si="2"/>
        <v>29.000000000000181</v>
      </c>
      <c r="C145" s="34">
        <v>0.99595</v>
      </c>
    </row>
    <row r="146" spans="2:3" x14ac:dyDescent="0.25">
      <c r="B146" s="33">
        <f t="shared" si="2"/>
        <v>29.100000000000183</v>
      </c>
      <c r="C146" s="34">
        <v>0.99592000000000003</v>
      </c>
    </row>
    <row r="147" spans="2:3" x14ac:dyDescent="0.25">
      <c r="B147" s="33">
        <f t="shared" si="2"/>
        <v>29.200000000000184</v>
      </c>
      <c r="C147" s="34">
        <v>0.99589000000000005</v>
      </c>
    </row>
    <row r="148" spans="2:3" x14ac:dyDescent="0.25">
      <c r="B148" s="33">
        <f t="shared" si="2"/>
        <v>29.300000000000185</v>
      </c>
      <c r="C148" s="34">
        <v>0.99585999999999997</v>
      </c>
    </row>
    <row r="149" spans="2:3" x14ac:dyDescent="0.25">
      <c r="B149" s="33">
        <f t="shared" si="2"/>
        <v>29.400000000000187</v>
      </c>
      <c r="C149" s="34">
        <v>0.99582999999999999</v>
      </c>
    </row>
    <row r="150" spans="2:3" x14ac:dyDescent="0.25">
      <c r="B150" s="33">
        <f t="shared" si="2"/>
        <v>29.500000000000188</v>
      </c>
      <c r="C150" s="34">
        <v>0.99580000000000002</v>
      </c>
    </row>
    <row r="151" spans="2:3" x14ac:dyDescent="0.25">
      <c r="B151" s="33">
        <f t="shared" si="2"/>
        <v>29.60000000000019</v>
      </c>
      <c r="C151" s="34">
        <v>0.99577000000000004</v>
      </c>
    </row>
    <row r="152" spans="2:3" x14ac:dyDescent="0.25">
      <c r="B152" s="33">
        <f t="shared" si="2"/>
        <v>29.700000000000191</v>
      </c>
      <c r="C152" s="34">
        <v>0.99573999999999996</v>
      </c>
    </row>
    <row r="153" spans="2:3" x14ac:dyDescent="0.25">
      <c r="B153" s="33">
        <f t="shared" si="2"/>
        <v>29.800000000000193</v>
      </c>
      <c r="C153" s="34">
        <v>0.99570999999999998</v>
      </c>
    </row>
    <row r="154" spans="2:3" x14ac:dyDescent="0.25">
      <c r="B154" s="33">
        <f t="shared" si="2"/>
        <v>29.900000000000194</v>
      </c>
      <c r="C154" s="34">
        <v>0.99568000000000001</v>
      </c>
    </row>
    <row r="155" spans="2:3" x14ac:dyDescent="0.25">
      <c r="B155" s="33">
        <f t="shared" si="2"/>
        <v>30.000000000000195</v>
      </c>
      <c r="C155" s="34">
        <v>0.99565000000000003</v>
      </c>
    </row>
    <row r="156" spans="2:3" x14ac:dyDescent="0.25">
      <c r="B156" s="33">
        <f t="shared" si="2"/>
        <v>30.100000000000197</v>
      </c>
      <c r="C156" s="34">
        <v>0.99561999999999995</v>
      </c>
    </row>
    <row r="157" spans="2:3" x14ac:dyDescent="0.25">
      <c r="B157" s="33">
        <f t="shared" si="2"/>
        <v>30.200000000000198</v>
      </c>
      <c r="C157" s="34">
        <v>0.99558999999999997</v>
      </c>
    </row>
    <row r="158" spans="2:3" x14ac:dyDescent="0.25">
      <c r="B158" s="33">
        <f t="shared" si="2"/>
        <v>30.3000000000002</v>
      </c>
      <c r="C158" s="34">
        <v>0.99556</v>
      </c>
    </row>
    <row r="159" spans="2:3" x14ac:dyDescent="0.25">
      <c r="B159" s="33">
        <f t="shared" si="2"/>
        <v>30.400000000000201</v>
      </c>
      <c r="C159" s="34">
        <v>0.99553000000000003</v>
      </c>
    </row>
    <row r="160" spans="2:3" x14ac:dyDescent="0.25">
      <c r="B160" s="33">
        <f t="shared" si="2"/>
        <v>30.500000000000203</v>
      </c>
      <c r="C160" s="34">
        <v>0.99550000000000005</v>
      </c>
    </row>
    <row r="161" spans="2:4" x14ac:dyDescent="0.25">
      <c r="B161" s="33">
        <f t="shared" si="2"/>
        <v>30.600000000000204</v>
      </c>
      <c r="C161" s="34">
        <v>0.99546999999999997</v>
      </c>
    </row>
    <row r="162" spans="2:4" x14ac:dyDescent="0.25">
      <c r="B162" s="33">
        <f t="shared" si="2"/>
        <v>30.700000000000205</v>
      </c>
      <c r="C162" s="34">
        <v>0.99543999999999999</v>
      </c>
    </row>
    <row r="163" spans="2:4" x14ac:dyDescent="0.25">
      <c r="B163" s="33">
        <f t="shared" si="2"/>
        <v>30.800000000000207</v>
      </c>
      <c r="C163" s="34">
        <v>0.99541000000000002</v>
      </c>
    </row>
    <row r="164" spans="2:4" ht="15.75" thickBot="1" x14ac:dyDescent="0.3">
      <c r="B164" s="35">
        <f t="shared" si="2"/>
        <v>30.900000000000208</v>
      </c>
      <c r="C164" s="36">
        <v>0.99538000000000004</v>
      </c>
    </row>
    <row r="166" spans="2:4" x14ac:dyDescent="0.25">
      <c r="B166" t="s">
        <v>199</v>
      </c>
      <c r="C166" s="60">
        <v>43892</v>
      </c>
    </row>
    <row r="167" spans="2:4" x14ac:dyDescent="0.25">
      <c r="C167" s="102" t="s">
        <v>212</v>
      </c>
      <c r="D167" s="101"/>
    </row>
  </sheetData>
  <sheetProtection sheet="1" objects="1" scenarios="1" selectLockedCells="1"/>
  <mergeCells count="2">
    <mergeCell ref="B3:C3"/>
    <mergeCell ref="B2:C2"/>
  </mergeCells>
  <pageMargins left="0.7" right="0.7" top="0.75" bottom="0.75" header="0.3" footer="0.3"/>
  <pageSetup scale="2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B1278B1801204D92830C673FD6E828" ma:contentTypeVersion="10" ma:contentTypeDescription="Create a new document." ma:contentTypeScope="" ma:versionID="cb19eea71ed3674103efeb563fa8393d">
  <xsd:schema xmlns:xsd="http://www.w3.org/2001/XMLSchema" xmlns:xs="http://www.w3.org/2001/XMLSchema" xmlns:p="http://schemas.microsoft.com/office/2006/metadata/properties" xmlns:ns3="ad3e0eed-f508-471c-adf2-ae82036e5213" targetNamespace="http://schemas.microsoft.com/office/2006/metadata/properties" ma:root="true" ma:fieldsID="1602cceaca8ea03357633bf6113a5655" ns3:_="">
    <xsd:import namespace="ad3e0eed-f508-471c-adf2-ae82036e5213"/>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3e0eed-f508-471c-adf2-ae82036e52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D78AC1B-B049-4FB1-AD7C-2DB3C16EFB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3e0eed-f508-471c-adf2-ae82036e52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6E1839F-6CE8-4093-B7DA-ED16B22494BC}">
  <ds:schemaRefs>
    <ds:schemaRef ds:uri="http://schemas.microsoft.com/office/2006/metadata/properties"/>
    <ds:schemaRef ds:uri="http://purl.org/dc/terms/"/>
    <ds:schemaRef ds:uri="ad3e0eed-f508-471c-adf2-ae82036e5213"/>
    <ds:schemaRef ds:uri="http://schemas.microsoft.com/office/2006/documentManagement/types"/>
    <ds:schemaRef ds:uri="http://www.w3.org/XML/1998/namespace"/>
    <ds:schemaRef ds:uri="http://schemas.microsoft.com/office/infopath/2007/PartnerControls"/>
    <ds:schemaRef ds:uri="http://purl.org/dc/elements/1.1/"/>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F8FBB2A5-F0C1-43DF-96A1-0BF9B98997C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5</vt:i4>
      </vt:variant>
    </vt:vector>
  </HeadingPairs>
  <TitlesOfParts>
    <vt:vector size="10" baseType="lpstr">
      <vt:lpstr>Lab Data</vt:lpstr>
      <vt:lpstr>Cylinder</vt:lpstr>
      <vt:lpstr>Hydrometer</vt:lpstr>
      <vt:lpstr>Table 1</vt:lpstr>
      <vt:lpstr>Water Density</vt:lpstr>
      <vt:lpstr>Cylinder!Print_Area</vt:lpstr>
      <vt:lpstr>Hydrometer!Print_Area</vt:lpstr>
      <vt:lpstr>'Lab Data'!Print_Area</vt:lpstr>
      <vt:lpstr>'Table 1'!Print_Area</vt:lpstr>
      <vt:lpstr>'Water Density'!Print_Area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 Holter</dc:creator>
  <cp:lastModifiedBy>Pete Holter</cp:lastModifiedBy>
  <cp:lastPrinted>2020-03-03T16:19:00Z</cp:lastPrinted>
  <dcterms:created xsi:type="dcterms:W3CDTF">2017-05-25T15:46:30Z</dcterms:created>
  <dcterms:modified xsi:type="dcterms:W3CDTF">2025-08-20T20:53:12Z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0x010100F8B1278B1801204D92830C673FD6E828</vt:lpwstr>
  </property>
</Properties>
</file>